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usepa-my.sharepoint.com/personal/stanfield_kelley_epa_gov/Documents/Desktop/12DCA FINAL DOCKET/"/>
    </mc:Choice>
  </mc:AlternateContent>
  <xr:revisionPtr revIDLastSave="1014" documentId="8_{879307AB-3F27-4CED-8F76-3F11AB1BAED4}" xr6:coauthVersionLast="47" xr6:coauthVersionMax="47" xr10:uidLastSave="{864B2EA4-5BC9-46A3-A1EC-BBFCE499156D}"/>
  <bookViews>
    <workbookView xWindow="-120" yWindow="-120" windowWidth="29040" windowHeight="15720" xr2:uid="{ED1BEB23-BA2B-4061-9A00-D65967B200E9}"/>
  </bookViews>
  <sheets>
    <sheet name="Cover Page" sheetId="62" r:id="rId1"/>
    <sheet name="Information" sheetId="27" r:id="rId2"/>
    <sheet name="Calculation Summary" sheetId="50" r:id="rId3"/>
    <sheet name="1,2-DCA_product" sheetId="19" r:id="rId4"/>
    <sheet name="1,2-DCA_max" sheetId="30" r:id="rId5"/>
    <sheet name="1,1-DCA_test order_OP" sheetId="38" r:id="rId6"/>
    <sheet name="1,1-DCA_test order_max_OP" sheetId="39" r:id="rId7"/>
    <sheet name="1,1-DCA_test order_MT" sheetId="41" r:id="rId8"/>
    <sheet name="1,1-DCA_test order_max_MT" sheetId="42" r:id="rId9"/>
    <sheet name="1,1-DCA_test order_LGT" sheetId="43" r:id="rId10"/>
    <sheet name="1,1-DCA_test order_max_LGT" sheetId="44" r:id="rId11"/>
    <sheet name="1,1-DCA_test order_LBT" sheetId="45" r:id="rId12"/>
    <sheet name="1,1-DCA_test order_max_LBT" sheetId="46" r:id="rId13"/>
    <sheet name="TCE_operator" sheetId="53" r:id="rId14"/>
    <sheet name="TCE_maint" sheetId="54" r:id="rId15"/>
    <sheet name="TCE_log" sheetId="55" r:id="rId16"/>
    <sheet name="TCE_lab" sheetId="56" r:id="rId17"/>
    <sheet name="PCE_product" sheetId="8" r:id="rId18"/>
    <sheet name="PCE_max" sheetId="36" r:id="rId19"/>
    <sheet name="MC_product" sheetId="14" r:id="rId20"/>
    <sheet name="MC_max" sheetId="35" r:id="rId21"/>
    <sheet name="CTC_operator" sheetId="58" r:id="rId22"/>
    <sheet name="CTC_lab" sheetId="59" r:id="rId23"/>
    <sheet name="CTC_log" sheetId="60" r:id="rId24"/>
    <sheet name="CTC_maint" sheetId="61" r:id="rId25"/>
    <sheet name="Inhalation Exposures" sheetId="7" r:id="rId26"/>
    <sheet name="Dermal Exposures" sheetId="9" r:id="rId27"/>
    <sheet name="Health Data" sheetId="23" r:id="rId28"/>
    <sheet name="Byproduct Conc_Inhalation" sheetId="26" r:id="rId29"/>
    <sheet name="Byproduct Conc_Dermal" sheetId="40" r:id="rId30"/>
    <sheet name="Mfg_1,2-DCA Test Order Data" sheetId="25" r:id="rId31"/>
    <sheet name="List Values" sheetId="48" r:id="rId32"/>
    <sheet name="Exposure Factors" sheetId="28" r:id="rId33"/>
    <sheet name="Constants" sheetId="29" r:id="rId34"/>
  </sheets>
  <definedNames>
    <definedName name="_AtRisk_SimSetting_AutomaticallyGenerateReports" hidden="1">FALSE</definedName>
    <definedName name="_AtRisk_SimSetting_AutomaticResultsDisplayMode" localSheetId="29" hidden="1">0</definedName>
    <definedName name="_AtRisk_SimSetting_AutomaticResultsDisplayMode" localSheetId="28" hidden="1">2</definedName>
    <definedName name="_AtRisk_SimSetting_AutomaticResultsDisplayMode" localSheetId="33" hidden="1">2</definedName>
    <definedName name="_AtRisk_SimSetting_AutomaticResultsDisplayMode" localSheetId="26" hidden="1">2</definedName>
    <definedName name="_AtRisk_SimSetting_AutomaticResultsDisplayMode" localSheetId="32" hidden="1">2</definedName>
    <definedName name="_AtRisk_SimSetting_AutomaticResultsDisplayMode" localSheetId="1" hidden="1">2</definedName>
    <definedName name="_AtRisk_SimSetting_AutomaticResultsDisplayMode" localSheetId="25" hidden="1">2</definedName>
    <definedName name="_AtRisk_SimSetting_AutomaticResultsDisplayMode" localSheetId="30" hidden="1">2</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localSheetId="29" hidden="1">100</definedName>
    <definedName name="_AtRisk_SimSetting_ConvergenceTestingPeriod" localSheetId="28" hidden="1">10</definedName>
    <definedName name="_AtRisk_SimSetting_ConvergenceTestingPeriod" localSheetId="33" hidden="1">10</definedName>
    <definedName name="_AtRisk_SimSetting_ConvergenceTestingPeriod" localSheetId="26" hidden="1">10</definedName>
    <definedName name="_AtRisk_SimSetting_ConvergenceTestingPeriod" localSheetId="32" hidden="1">10</definedName>
    <definedName name="_AtRisk_SimSetting_ConvergenceTestingPeriod" localSheetId="1" hidden="1">10</definedName>
    <definedName name="_AtRisk_SimSetting_ConvergenceTestingPeriod" localSheetId="25" hidden="1">10</definedName>
    <definedName name="_AtRisk_SimSetting_ConvergenceTestingPeriod" localSheetId="30" hidden="1">10</definedName>
    <definedName name="_AtRisk_SimSetting_ConvergenceTestingPeriod" hidden="1">100</definedName>
    <definedName name="_AtRisk_SimSetting_ConvergenceTolerance" localSheetId="29" hidden="1">0.03</definedName>
    <definedName name="_AtRisk_SimSetting_ConvergenceTolerance" localSheetId="28" hidden="1">0.01</definedName>
    <definedName name="_AtRisk_SimSetting_ConvergenceTolerance" localSheetId="33" hidden="1">0.01</definedName>
    <definedName name="_AtRisk_SimSetting_ConvergenceTolerance" localSheetId="26" hidden="1">0.01</definedName>
    <definedName name="_AtRisk_SimSetting_ConvergenceTolerance" localSheetId="32" hidden="1">0.01</definedName>
    <definedName name="_AtRisk_SimSetting_ConvergenceTolerance" localSheetId="1" hidden="1">0.01</definedName>
    <definedName name="_AtRisk_SimSetting_ConvergenceTolerance" localSheetId="25" hidden="1">0.01</definedName>
    <definedName name="_AtRisk_SimSetting_ConvergenceTolerance" localSheetId="30" hidden="1">0.01</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localSheetId="29" hidden="1">0</definedName>
    <definedName name="_AtRisk_SimSetting_MacroRecalculationBehavior" localSheetId="28" hidden="1">1</definedName>
    <definedName name="_AtRisk_SimSetting_MacroRecalculationBehavior" localSheetId="33" hidden="1">1</definedName>
    <definedName name="_AtRisk_SimSetting_MacroRecalculationBehavior" localSheetId="26" hidden="1">1</definedName>
    <definedName name="_AtRisk_SimSetting_MacroRecalculationBehavior" localSheetId="32" hidden="1">1</definedName>
    <definedName name="_AtRisk_SimSetting_MacroRecalculationBehavior" localSheetId="1" hidden="1">1</definedName>
    <definedName name="_AtRisk_SimSetting_MacroRecalculationBehavior" localSheetId="25" hidden="1">1</definedName>
    <definedName name="_AtRisk_SimSetting_MacroRecalculationBehavior" localSheetId="30" hidden="1">1</definedName>
    <definedName name="_AtRisk_SimSetting_MacroRecalculationBehavior" hidden="1">0</definedName>
    <definedName name="_AtRisk_SimSetting_MaxAutoIterations" hidden="1">50000</definedName>
    <definedName name="_AtRisk_SimSetting_MultipleCPUCount" localSheetId="29" hidden="1">-1</definedName>
    <definedName name="_AtRisk_SimSetting_MultipleCPUCount" localSheetId="0" hidden="1">-1</definedName>
    <definedName name="_AtRisk_SimSetting_MultipleCPUCount" hidden="1">8</definedName>
    <definedName name="_AtRisk_SimSetting_MultipleCPUManualCount" hidden="1">8</definedName>
    <definedName name="_AtRisk_SimSetting_MultipleCPUMode" localSheetId="29" hidden="1">1</definedName>
    <definedName name="_AtRisk_SimSetting_MultipleCPUMode" localSheetId="0" hidden="1">1</definedName>
    <definedName name="_AtRisk_SimSetting_MultipleCPUMode" hidden="1">2</definedName>
    <definedName name="_AtRisk_SimSetting_MultipleCPUModeV8" localSheetId="29" hidden="1">1</definedName>
    <definedName name="_AtRisk_SimSetting_MultipleCPUModeV8" localSheetId="0" hidden="1">1</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0</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15</definedName>
    <definedName name="_AtRisk_SimSetting_ReportOptionReportsFileType" hidden="1">1</definedName>
    <definedName name="_AtRisk_SimSetting_ReportOptionSelectiveQR" hidden="1">FALSE</definedName>
    <definedName name="_AtRisk_SimSetting_ReportsList" hidden="1">15</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9" hidden="1">0</definedName>
    <definedName name="_AtRisk_SimSetting_StdRecalcWithoutRiskStatic" hidden="1">0</definedName>
    <definedName name="_AtRisk_SimSetting_StdRecalcWithoutRiskStaticPercentile" hidden="1">0.5</definedName>
    <definedName name="_xlnm._FilterDatabase" localSheetId="25" hidden="1">'Inhalation Exposures'!$A$6:$T$74</definedName>
    <definedName name="AT">Constants!$C$12</definedName>
    <definedName name="AT_AC">Constants!$C$27</definedName>
    <definedName name="AT_ADC_high">Constants!$C$18</definedName>
    <definedName name="AT_ADC_mid">Constants!$C$17</definedName>
    <definedName name="AT_ADC_ST">Constants!$C$24</definedName>
    <definedName name="AT_CRD_high">Constants!$C$22</definedName>
    <definedName name="AT_CRD_mid">Constants!$C$21</definedName>
    <definedName name="AT_CRD_ST">Constants!$C$26</definedName>
    <definedName name="AT_LADC">Constants!$C$19</definedName>
    <definedName name="AT_LCRD">Constants!$C$23</definedName>
    <definedName name="Breathing_Ratio">Constants!$C$20</definedName>
    <definedName name="BW_default">'Exposure Factors'!$C$6</definedName>
    <definedName name="BW_women">'Exposure Factors'!$D$6</definedName>
    <definedName name="Conf_HIGH_LB">Constants!$H$11</definedName>
    <definedName name="Conf_HIGH_UB">Constants!$I$11</definedName>
    <definedName name="Conf_LOW_LB">Constants!$H$13</definedName>
    <definedName name="Conf_LOW_UB">Constants!$I$13</definedName>
    <definedName name="Conf_MED_LB">Constants!$H$12</definedName>
    <definedName name="Conf_MED_UB">Constants!$I$12</definedName>
    <definedName name="ED_8">Constants!$C$11</definedName>
    <definedName name="EF">Constants!$C$13</definedName>
    <definedName name="EF_ST">Constants!$C$25</definedName>
    <definedName name="LT">Constants!$C$16</definedName>
    <definedName name="MW">Constants!$B$3</definedName>
    <definedName name="Pal_Workbook_GUID" localSheetId="29" hidden="1">"SK39RLEDQA2L46YW8H5SUKN3"</definedName>
    <definedName name="Pal_Workbook_GUID" localSheetId="28" hidden="1">"SK39RLEDQA2L46YW8H5SUKN3"</definedName>
    <definedName name="Pal_Workbook_GUID" localSheetId="33" hidden="1">"SK39RLEDQA2L46YW8H5SUKN3"</definedName>
    <definedName name="Pal_Workbook_GUID" localSheetId="0" hidden="1">"SK39RLEDQA2L46YW8H5SUKN3"</definedName>
    <definedName name="Pal_Workbook_GUID" localSheetId="26" hidden="1">"SK39RLEDQA2L46YW8H5SUKN3"</definedName>
    <definedName name="Pal_Workbook_GUID" localSheetId="32" hidden="1">"SK39RLEDQA2L46YW8H5SUKN3"</definedName>
    <definedName name="Pal_Workbook_GUID" localSheetId="1" hidden="1">"SK39RLEDQA2L46YW8H5SUKN3"</definedName>
    <definedName name="Pal_Workbook_GUID" localSheetId="25" hidden="1">"SK39RLEDQA2L46YW8H5SUKN3"</definedName>
    <definedName name="Pal_Workbook_GUID" localSheetId="30" hidden="1">"SK39RLEDQA2L46YW8H5SUKN3"</definedName>
    <definedName name="Pal_Workbook_GUID" hidden="1">"QFFA8IQU6YFGRFCXE7L4LIWR"</definedName>
    <definedName name="RiskAfterRecalcMacro" localSheetId="29" hidden="1">""</definedName>
    <definedName name="RiskAfterRecalcMacro" localSheetId="28" hidden="1">"'PERC_Dry Cleaner Model_4.9.2019.xlsm'!RK4Solver.RK4Solver"</definedName>
    <definedName name="RiskAfterRecalcMacro" localSheetId="33" hidden="1">"'PERC_Dry Cleaner Model_4.9.2019.xlsm'!RK4Solver.RK4Solver"</definedName>
    <definedName name="RiskAfterRecalcMacro" localSheetId="26" hidden="1">"'PERC_Dry Cleaner Model_4.9.2019.xlsm'!RK4Solver.RK4Solver"</definedName>
    <definedName name="RiskAfterRecalcMacro" localSheetId="32" hidden="1">"'PERC_Dry Cleaner Model_4.9.2019.xlsm'!RK4Solver.RK4Solver"</definedName>
    <definedName name="RiskAfterRecalcMacro" localSheetId="1" hidden="1">"'PERC_Dry Cleaner Model_4.9.2019.xlsm'!RK4Solver.RK4Solver"</definedName>
    <definedName name="RiskAfterRecalcMacro" localSheetId="25" hidden="1">"'PERC_Dry Cleaner Model_4.9.2019.xlsm'!RK4Solver.RK4Solver"</definedName>
    <definedName name="RiskAfterRecalcMacro" localSheetId="30" hidden="1">"'PERC_Dry Cleaner Model_4.9.2019.xlsm'!RK4Solver.RK4Solver"</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localSheetId="29" hidden="1">TRUE</definedName>
    <definedName name="RiskMultipleCPUSupportEnabled" localSheetId="0" hidden="1">TRUE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imulationResultsExternalFilePath" hidden="1">"P:\CEB\ExistingChems\Work Plan Chemicals\2nd Batch\Chlorinated Solvents\Pre-2025 Work\Monte Carlo Simulations\1,2-DCA Byproducts\1,2-DCA Byproducts Risk Calculations_2025.08.15_TCE.RSK5"</definedName>
    <definedName name="RiskSimulationResultsStorageLocation" hidden="1">"3"</definedName>
    <definedName name="RiskStandardRecalc" localSheetId="29" hidden="1">1</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localSheetId="29" hidden="1">TRUE</definedName>
    <definedName name="RiskUseMultipleCPUs" localSheetId="0" hidden="1">TRUE</definedName>
    <definedName name="RiskUseMultipleCPUs" hidden="1">FALSE</definedName>
    <definedName name="VP_11DCA">Constants!$H$3</definedName>
    <definedName name="VP_12DCA">Constants!$H$4</definedName>
    <definedName name="VP12DCA">Constants!$H$4</definedName>
    <definedName name="what">#REF!</definedName>
    <definedName name="WY_CT_default">'Exposure Factors'!$C$10</definedName>
    <definedName name="WY_CT_women">'Exposure Factors'!$D$10</definedName>
    <definedName name="WY_HE_default">'Exposure Factors'!$C$9</definedName>
    <definedName name="WY_HE_women">'Exposure Factors'!$D$9</definedName>
    <definedName name="WY_high">Constants!$C$15</definedName>
    <definedName name="WY_mid">Constants!$C$14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61" l="1"/>
  <c r="S17" i="61" s="1"/>
  <c r="R11" i="61"/>
  <c r="R17" i="61" s="1"/>
  <c r="Q11" i="61"/>
  <c r="Q17" i="61" s="1"/>
  <c r="P11" i="61"/>
  <c r="P17" i="61" s="1"/>
  <c r="S10" i="61"/>
  <c r="S16" i="61" s="1"/>
  <c r="R10" i="61"/>
  <c r="R16" i="61" s="1"/>
  <c r="Q10" i="61"/>
  <c r="Q14" i="61" s="1"/>
  <c r="P10" i="61"/>
  <c r="P16" i="61" s="1"/>
  <c r="S11" i="60"/>
  <c r="S17" i="60" s="1"/>
  <c r="R11" i="60"/>
  <c r="R17" i="60" s="1"/>
  <c r="Q11" i="60"/>
  <c r="Q17" i="60" s="1"/>
  <c r="P11" i="60"/>
  <c r="P17" i="60" s="1"/>
  <c r="S10" i="60"/>
  <c r="S14" i="60" s="1"/>
  <c r="R10" i="60"/>
  <c r="R16" i="60" s="1"/>
  <c r="Q10" i="60"/>
  <c r="Q16" i="60" s="1"/>
  <c r="P10" i="60"/>
  <c r="P16" i="60" s="1"/>
  <c r="S11" i="59"/>
  <c r="S17" i="59" s="1"/>
  <c r="R11" i="59"/>
  <c r="R17" i="59" s="1"/>
  <c r="Q11" i="59"/>
  <c r="Q17" i="59" s="1"/>
  <c r="P11" i="59"/>
  <c r="P17" i="59" s="1"/>
  <c r="S10" i="59"/>
  <c r="S16" i="59" s="1"/>
  <c r="R10" i="59"/>
  <c r="R16" i="59" s="1"/>
  <c r="Q10" i="59"/>
  <c r="Q16" i="59" s="1"/>
  <c r="P10" i="59"/>
  <c r="P16" i="59" s="1"/>
  <c r="S11" i="58"/>
  <c r="S17" i="58" s="1"/>
  <c r="R11" i="58"/>
  <c r="R17" i="58" s="1"/>
  <c r="Q11" i="58"/>
  <c r="Q13" i="58" s="1"/>
  <c r="P11" i="58"/>
  <c r="P15" i="58" s="1"/>
  <c r="S10" i="58"/>
  <c r="S14" i="58" s="1"/>
  <c r="R10" i="58"/>
  <c r="R12" i="58" s="1"/>
  <c r="Q10" i="58"/>
  <c r="Q12" i="58" s="1"/>
  <c r="P10" i="58"/>
  <c r="P16" i="58" s="1"/>
  <c r="P17" i="58" l="1"/>
  <c r="R13" i="58"/>
  <c r="S16" i="60"/>
  <c r="R15" i="61"/>
  <c r="R14" i="58"/>
  <c r="R16" i="58"/>
  <c r="S12" i="58"/>
  <c r="S15" i="58"/>
  <c r="P13" i="58"/>
  <c r="S16" i="58"/>
  <c r="Q14" i="58"/>
  <c r="P14" i="58"/>
  <c r="Q16" i="58"/>
  <c r="Q17" i="58"/>
  <c r="S13" i="58"/>
  <c r="P12" i="58"/>
  <c r="Q15" i="58"/>
  <c r="R15" i="58"/>
  <c r="P12" i="61"/>
  <c r="P14" i="61"/>
  <c r="R13" i="61"/>
  <c r="Q12" i="61"/>
  <c r="Q16" i="61"/>
  <c r="R12" i="61"/>
  <c r="R14" i="61"/>
  <c r="S12" i="61"/>
  <c r="S14" i="61"/>
  <c r="Q13" i="61"/>
  <c r="Q15" i="61"/>
  <c r="S13" i="61"/>
  <c r="S15" i="61"/>
  <c r="P13" i="61"/>
  <c r="P15" i="61"/>
  <c r="Q12" i="60"/>
  <c r="Q14" i="60"/>
  <c r="R14" i="60"/>
  <c r="R13" i="60"/>
  <c r="R15" i="60"/>
  <c r="S13" i="60"/>
  <c r="S15" i="60"/>
  <c r="P12" i="60"/>
  <c r="P14" i="60"/>
  <c r="R12" i="60"/>
  <c r="S12" i="60"/>
  <c r="P13" i="60"/>
  <c r="P15" i="60"/>
  <c r="Q13" i="60"/>
  <c r="Q15" i="60"/>
  <c r="P12" i="59"/>
  <c r="P14" i="59"/>
  <c r="Q12" i="59"/>
  <c r="Q14" i="59"/>
  <c r="R12" i="59"/>
  <c r="R14" i="59"/>
  <c r="S12" i="59"/>
  <c r="S14" i="59"/>
  <c r="P13" i="59"/>
  <c r="P15" i="59"/>
  <c r="Q13" i="59"/>
  <c r="Q15" i="59"/>
  <c r="R13" i="59"/>
  <c r="R15" i="59"/>
  <c r="S13" i="59"/>
  <c r="S15" i="59"/>
  <c r="S11" i="56"/>
  <c r="S17" i="56" s="1"/>
  <c r="R11" i="56"/>
  <c r="R17" i="56" s="1"/>
  <c r="Q11" i="56"/>
  <c r="Q17" i="56" s="1"/>
  <c r="P11" i="56"/>
  <c r="P13" i="56" s="1"/>
  <c r="S10" i="56"/>
  <c r="R10" i="56"/>
  <c r="R14" i="56" s="1"/>
  <c r="Q10" i="56"/>
  <c r="Q16" i="56" s="1"/>
  <c r="P10" i="56"/>
  <c r="P16" i="56" s="1"/>
  <c r="S11" i="55"/>
  <c r="S15" i="55" s="1"/>
  <c r="R11" i="55"/>
  <c r="R13" i="55" s="1"/>
  <c r="Q11" i="55"/>
  <c r="P11" i="55"/>
  <c r="P17" i="55" s="1"/>
  <c r="S10" i="55"/>
  <c r="S16" i="55" s="1"/>
  <c r="R10" i="55"/>
  <c r="R12" i="55" s="1"/>
  <c r="Q10" i="55"/>
  <c r="Q14" i="55" s="1"/>
  <c r="P10" i="55"/>
  <c r="P12" i="55" s="1"/>
  <c r="S11" i="54"/>
  <c r="S15" i="54" s="1"/>
  <c r="R11" i="54"/>
  <c r="R17" i="54" s="1"/>
  <c r="Q11" i="54"/>
  <c r="Q13" i="54" s="1"/>
  <c r="P11" i="54"/>
  <c r="P15" i="54" s="1"/>
  <c r="S10" i="54"/>
  <c r="S14" i="54" s="1"/>
  <c r="R10" i="54"/>
  <c r="R12" i="54" s="1"/>
  <c r="Q10" i="54"/>
  <c r="Q16" i="54" s="1"/>
  <c r="P10" i="54"/>
  <c r="P12" i="54" s="1"/>
  <c r="S11" i="53"/>
  <c r="S17" i="53" s="1"/>
  <c r="R11" i="53"/>
  <c r="R17" i="53" s="1"/>
  <c r="Q11" i="53"/>
  <c r="Q17" i="53" s="1"/>
  <c r="P11" i="53"/>
  <c r="P17" i="53" s="1"/>
  <c r="S10" i="53"/>
  <c r="S12" i="53" s="1"/>
  <c r="R10" i="53"/>
  <c r="R14" i="53" s="1"/>
  <c r="Q10" i="53"/>
  <c r="Q16" i="53" s="1"/>
  <c r="N47" i="56"/>
  <c r="C47" i="56"/>
  <c r="N43" i="56"/>
  <c r="C43" i="56"/>
  <c r="N41" i="56"/>
  <c r="C41" i="56"/>
  <c r="O34" i="56"/>
  <c r="D30" i="56"/>
  <c r="O28" i="56"/>
  <c r="D24" i="56"/>
  <c r="O22" i="56"/>
  <c r="D18" i="56"/>
  <c r="S16" i="56"/>
  <c r="N16" i="56"/>
  <c r="N14" i="56"/>
  <c r="Q13" i="56"/>
  <c r="N12" i="56"/>
  <c r="S12" i="56"/>
  <c r="N47" i="55"/>
  <c r="C47" i="55"/>
  <c r="N43" i="55"/>
  <c r="C43" i="55"/>
  <c r="N41" i="55"/>
  <c r="C41" i="55"/>
  <c r="O34" i="55"/>
  <c r="D30" i="55"/>
  <c r="O28" i="55"/>
  <c r="D24" i="55"/>
  <c r="O22" i="55"/>
  <c r="D18" i="55"/>
  <c r="N16" i="55"/>
  <c r="N14" i="55"/>
  <c r="N12" i="55"/>
  <c r="Q17" i="55"/>
  <c r="N47" i="54"/>
  <c r="C47" i="54"/>
  <c r="N43" i="54"/>
  <c r="C43" i="54"/>
  <c r="N41" i="54"/>
  <c r="C41" i="54"/>
  <c r="O34" i="54"/>
  <c r="D30" i="54"/>
  <c r="O28" i="54"/>
  <c r="D24" i="54"/>
  <c r="O22" i="54"/>
  <c r="D18" i="54"/>
  <c r="N16" i="54"/>
  <c r="N14" i="54"/>
  <c r="N12" i="54"/>
  <c r="N47" i="53"/>
  <c r="C47" i="53"/>
  <c r="N43" i="53"/>
  <c r="C43" i="53"/>
  <c r="N41" i="53"/>
  <c r="C41" i="53"/>
  <c r="O34" i="53"/>
  <c r="D30" i="53"/>
  <c r="O28" i="53"/>
  <c r="D24" i="53"/>
  <c r="O22" i="53"/>
  <c r="D18" i="53"/>
  <c r="N16" i="53"/>
  <c r="N14" i="53"/>
  <c r="N12" i="53"/>
  <c r="P10" i="53"/>
  <c r="P16" i="53" s="1"/>
  <c r="P17" i="56" l="1"/>
  <c r="Q17" i="54"/>
  <c r="P15" i="56"/>
  <c r="P17" i="54"/>
  <c r="Q15" i="56"/>
  <c r="P13" i="54"/>
  <c r="R17" i="55"/>
  <c r="S13" i="54"/>
  <c r="R16" i="54"/>
  <c r="R14" i="55"/>
  <c r="S16" i="54"/>
  <c r="S12" i="54"/>
  <c r="P12" i="53"/>
  <c r="P16" i="55"/>
  <c r="R14" i="54"/>
  <c r="P14" i="53"/>
  <c r="Q16" i="55"/>
  <c r="R15" i="54"/>
  <c r="R13" i="53"/>
  <c r="Q15" i="53"/>
  <c r="P15" i="53"/>
  <c r="R13" i="54"/>
  <c r="Q15" i="54"/>
  <c r="Q12" i="55"/>
  <c r="P14" i="55"/>
  <c r="S17" i="55"/>
  <c r="S14" i="56"/>
  <c r="R16" i="56"/>
  <c r="R13" i="56"/>
  <c r="Q12" i="54"/>
  <c r="P14" i="54"/>
  <c r="S17" i="54"/>
  <c r="P13" i="55"/>
  <c r="S14" i="55"/>
  <c r="R16" i="55"/>
  <c r="S13" i="56"/>
  <c r="R15" i="56"/>
  <c r="S12" i="55"/>
  <c r="Q14" i="54"/>
  <c r="P16" i="54"/>
  <c r="Q13" i="55"/>
  <c r="P15" i="55"/>
  <c r="P12" i="56"/>
  <c r="S15" i="56"/>
  <c r="Q15" i="55"/>
  <c r="Q12" i="56"/>
  <c r="P14" i="56"/>
  <c r="S13" i="55"/>
  <c r="R15" i="55"/>
  <c r="R12" i="56"/>
  <c r="Q14" i="56"/>
  <c r="P13" i="53"/>
  <c r="S14" i="53"/>
  <c r="R16" i="53"/>
  <c r="Q13" i="53"/>
  <c r="S16" i="53"/>
  <c r="S13" i="53"/>
  <c r="R15" i="53"/>
  <c r="S15" i="53"/>
  <c r="R12" i="53"/>
  <c r="Q14" i="53"/>
  <c r="Q12" i="53"/>
  <c r="I20" i="7" l="1"/>
  <c r="J20" i="7"/>
  <c r="Q45" i="61"/>
  <c r="F45" i="61"/>
  <c r="Q39" i="61"/>
  <c r="F39" i="61"/>
  <c r="R35" i="61"/>
  <c r="R29" i="61"/>
  <c r="R23" i="61"/>
  <c r="H13" i="61"/>
  <c r="G13" i="61"/>
  <c r="F13" i="61"/>
  <c r="E13" i="61"/>
  <c r="R47" i="61"/>
  <c r="H12" i="61"/>
  <c r="G31" i="61" s="1"/>
  <c r="G12" i="61"/>
  <c r="F12" i="61"/>
  <c r="E12" i="61"/>
  <c r="S42" i="61"/>
  <c r="H11" i="61"/>
  <c r="H30" i="61" s="1"/>
  <c r="G11" i="61"/>
  <c r="F11" i="61"/>
  <c r="E11" i="61"/>
  <c r="H10" i="61"/>
  <c r="G30" i="61" s="1"/>
  <c r="G10" i="61"/>
  <c r="F10" i="61"/>
  <c r="E10" i="61"/>
  <c r="Q45" i="60"/>
  <c r="F45" i="60"/>
  <c r="Q39" i="60"/>
  <c r="F39" i="60"/>
  <c r="R35" i="60"/>
  <c r="R29" i="60"/>
  <c r="R23" i="60"/>
  <c r="H13" i="60"/>
  <c r="H31" i="60" s="1"/>
  <c r="G13" i="60"/>
  <c r="F13" i="60"/>
  <c r="E13" i="60"/>
  <c r="H12" i="60"/>
  <c r="G12" i="60"/>
  <c r="F12" i="60"/>
  <c r="E12" i="60"/>
  <c r="T42" i="60"/>
  <c r="H11" i="60"/>
  <c r="G11" i="60"/>
  <c r="H24" i="60" s="1"/>
  <c r="F11" i="60"/>
  <c r="E11" i="60"/>
  <c r="R22" i="60"/>
  <c r="H10" i="60"/>
  <c r="G10" i="60"/>
  <c r="F10" i="60"/>
  <c r="E10" i="60"/>
  <c r="Q48" i="59"/>
  <c r="Q45" i="59"/>
  <c r="F45" i="59"/>
  <c r="Q44" i="59"/>
  <c r="Q41" i="59"/>
  <c r="Q39" i="59"/>
  <c r="F39" i="59"/>
  <c r="R35" i="59"/>
  <c r="R29" i="59"/>
  <c r="R23" i="59"/>
  <c r="T47" i="59"/>
  <c r="T43" i="59"/>
  <c r="H13" i="59"/>
  <c r="H31" i="59" s="1"/>
  <c r="G13" i="59"/>
  <c r="F13" i="59"/>
  <c r="E13" i="59"/>
  <c r="R47" i="59"/>
  <c r="H12" i="59"/>
  <c r="G31" i="59" s="1"/>
  <c r="G12" i="59"/>
  <c r="F12" i="59"/>
  <c r="E12" i="59"/>
  <c r="H11" i="59"/>
  <c r="H30" i="59" s="1"/>
  <c r="G11" i="59"/>
  <c r="F11" i="59"/>
  <c r="E11" i="59"/>
  <c r="R28" i="59"/>
  <c r="H10" i="59"/>
  <c r="G30" i="59" s="1"/>
  <c r="G10" i="59"/>
  <c r="F10" i="59"/>
  <c r="E10" i="59"/>
  <c r="Q47" i="58"/>
  <c r="Q45" i="58"/>
  <c r="F45" i="58"/>
  <c r="Q43" i="58"/>
  <c r="Q39" i="58"/>
  <c r="F39" i="58"/>
  <c r="R28" i="58"/>
  <c r="R22" i="58"/>
  <c r="T47" i="58"/>
  <c r="H13" i="58"/>
  <c r="G13" i="58"/>
  <c r="F13" i="58"/>
  <c r="H19" i="58" s="1"/>
  <c r="E13" i="58"/>
  <c r="H12" i="58"/>
  <c r="G31" i="58" s="1"/>
  <c r="G12" i="58"/>
  <c r="F12" i="58"/>
  <c r="G19" i="58" s="1"/>
  <c r="E12" i="58"/>
  <c r="R35" i="58"/>
  <c r="R23" i="58"/>
  <c r="H11" i="58"/>
  <c r="G11" i="58"/>
  <c r="F11" i="58"/>
  <c r="E11" i="58"/>
  <c r="R34" i="58"/>
  <c r="H10" i="58"/>
  <c r="G30" i="58" s="1"/>
  <c r="G10" i="58"/>
  <c r="F10" i="58"/>
  <c r="E10" i="58"/>
  <c r="H18" i="60" l="1"/>
  <c r="F47" i="58"/>
  <c r="R34" i="59"/>
  <c r="Q43" i="59"/>
  <c r="G18" i="60"/>
  <c r="S47" i="59"/>
  <c r="R28" i="61"/>
  <c r="G18" i="58"/>
  <c r="F41" i="58"/>
  <c r="F43" i="61"/>
  <c r="F44" i="58"/>
  <c r="H31" i="58"/>
  <c r="G24" i="58"/>
  <c r="H24" i="58"/>
  <c r="G25" i="58"/>
  <c r="Q47" i="59"/>
  <c r="R34" i="60"/>
  <c r="R48" i="59"/>
  <c r="R43" i="61"/>
  <c r="R22" i="61"/>
  <c r="R34" i="61"/>
  <c r="S43" i="58"/>
  <c r="R43" i="58"/>
  <c r="R29" i="58"/>
  <c r="F43" i="60"/>
  <c r="G31" i="60"/>
  <c r="R28" i="60"/>
  <c r="F42" i="61"/>
  <c r="H31" i="61"/>
  <c r="G30" i="60"/>
  <c r="H30" i="60"/>
  <c r="G18" i="61"/>
  <c r="S43" i="60"/>
  <c r="T44" i="61"/>
  <c r="T48" i="61"/>
  <c r="T48" i="60"/>
  <c r="T48" i="59"/>
  <c r="F42" i="58"/>
  <c r="G25" i="59"/>
  <c r="H25" i="60"/>
  <c r="H25" i="58"/>
  <c r="F48" i="59"/>
  <c r="H18" i="58"/>
  <c r="G24" i="61"/>
  <c r="F44" i="59"/>
  <c r="F48" i="60"/>
  <c r="H19" i="61"/>
  <c r="F41" i="61"/>
  <c r="F48" i="61"/>
  <c r="F41" i="59"/>
  <c r="H19" i="60"/>
  <c r="F47" i="60"/>
  <c r="F47" i="61"/>
  <c r="H30" i="58"/>
  <c r="F42" i="60"/>
  <c r="F44" i="61"/>
  <c r="F43" i="58"/>
  <c r="H18" i="59"/>
  <c r="F44" i="60"/>
  <c r="H25" i="61"/>
  <c r="S47" i="58"/>
  <c r="T43" i="58"/>
  <c r="Q41" i="58"/>
  <c r="Q44" i="58"/>
  <c r="Q48" i="58"/>
  <c r="S43" i="59"/>
  <c r="T41" i="59"/>
  <c r="G18" i="59"/>
  <c r="G24" i="59"/>
  <c r="F43" i="59"/>
  <c r="F47" i="59"/>
  <c r="S41" i="60"/>
  <c r="Q43" i="60"/>
  <c r="Q47" i="60"/>
  <c r="T42" i="61"/>
  <c r="R43" i="60"/>
  <c r="R47" i="60"/>
  <c r="Q43" i="61"/>
  <c r="Q47" i="61"/>
  <c r="H24" i="59"/>
  <c r="G24" i="60"/>
  <c r="F48" i="58"/>
  <c r="R41" i="59"/>
  <c r="G19" i="59"/>
  <c r="Q48" i="60"/>
  <c r="R47" i="58"/>
  <c r="R48" i="58"/>
  <c r="S44" i="58"/>
  <c r="T42" i="58"/>
  <c r="T41" i="58"/>
  <c r="R42" i="58"/>
  <c r="R43" i="59"/>
  <c r="R44" i="59"/>
  <c r="S42" i="59"/>
  <c r="H19" i="59"/>
  <c r="H25" i="59"/>
  <c r="S41" i="59"/>
  <c r="Q42" i="59"/>
  <c r="S48" i="59"/>
  <c r="R41" i="60"/>
  <c r="R42" i="60"/>
  <c r="G19" i="60"/>
  <c r="G25" i="60"/>
  <c r="F41" i="60"/>
  <c r="T43" i="60"/>
  <c r="R44" i="60"/>
  <c r="T47" i="60"/>
  <c r="R48" i="60"/>
  <c r="S47" i="61"/>
  <c r="H18" i="61"/>
  <c r="H24" i="61"/>
  <c r="Q41" i="61"/>
  <c r="S43" i="61"/>
  <c r="Q44" i="61"/>
  <c r="Q48" i="61"/>
  <c r="R41" i="58"/>
  <c r="R44" i="58"/>
  <c r="Q44" i="60"/>
  <c r="S47" i="60"/>
  <c r="S48" i="58"/>
  <c r="T44" i="58"/>
  <c r="S42" i="58"/>
  <c r="S44" i="59"/>
  <c r="T42" i="59"/>
  <c r="S42" i="60"/>
  <c r="Q42" i="60"/>
  <c r="S44" i="60"/>
  <c r="S48" i="60"/>
  <c r="R42" i="61"/>
  <c r="G19" i="61"/>
  <c r="G25" i="61"/>
  <c r="R41" i="61"/>
  <c r="T43" i="61"/>
  <c r="R44" i="61"/>
  <c r="T47" i="61"/>
  <c r="R48" i="61"/>
  <c r="S41" i="58"/>
  <c r="Q42" i="58"/>
  <c r="R42" i="59"/>
  <c r="Q41" i="60"/>
  <c r="T48" i="58"/>
  <c r="T44" i="59"/>
  <c r="R22" i="59"/>
  <c r="F42" i="59"/>
  <c r="T41" i="60"/>
  <c r="T44" i="60"/>
  <c r="S41" i="61"/>
  <c r="Q42" i="61"/>
  <c r="S44" i="61"/>
  <c r="S48" i="61"/>
  <c r="T41" i="61"/>
  <c r="H11" i="56"/>
  <c r="H11" i="55"/>
  <c r="H11" i="54"/>
  <c r="H11" i="53"/>
  <c r="K42" i="60" l="1"/>
  <c r="I42" i="60"/>
  <c r="H42" i="60"/>
  <c r="G42" i="60"/>
  <c r="J42" i="60"/>
  <c r="K44" i="59"/>
  <c r="I44" i="59"/>
  <c r="H44" i="59"/>
  <c r="G44" i="59"/>
  <c r="J44" i="59"/>
  <c r="K47" i="61"/>
  <c r="G47" i="61"/>
  <c r="I47" i="61"/>
  <c r="H47" i="61"/>
  <c r="J47" i="61"/>
  <c r="J47" i="60"/>
  <c r="I47" i="60"/>
  <c r="H47" i="60"/>
  <c r="G47" i="60"/>
  <c r="K47" i="60"/>
  <c r="J42" i="61"/>
  <c r="H42" i="61"/>
  <c r="G42" i="61"/>
  <c r="K42" i="61"/>
  <c r="I42" i="61"/>
  <c r="H43" i="59"/>
  <c r="G43" i="59"/>
  <c r="K43" i="59"/>
  <c r="I43" i="59"/>
  <c r="J43" i="59"/>
  <c r="G42" i="58"/>
  <c r="K42" i="58"/>
  <c r="J42" i="58"/>
  <c r="I42" i="58"/>
  <c r="H42" i="58"/>
  <c r="K44" i="58"/>
  <c r="J44" i="58"/>
  <c r="I44" i="58"/>
  <c r="H44" i="58"/>
  <c r="G44" i="58"/>
  <c r="K48" i="58"/>
  <c r="J48" i="58"/>
  <c r="I48" i="58"/>
  <c r="H48" i="58"/>
  <c r="G48" i="58"/>
  <c r="J41" i="59"/>
  <c r="H41" i="59"/>
  <c r="G41" i="59"/>
  <c r="I41" i="59"/>
  <c r="K41" i="59"/>
  <c r="I48" i="59"/>
  <c r="H48" i="59"/>
  <c r="G48" i="59"/>
  <c r="J48" i="59"/>
  <c r="K48" i="59"/>
  <c r="J43" i="61"/>
  <c r="K43" i="61"/>
  <c r="I43" i="61"/>
  <c r="G43" i="61"/>
  <c r="H43" i="61"/>
  <c r="H47" i="58"/>
  <c r="G47" i="58"/>
  <c r="I47" i="58"/>
  <c r="K47" i="58"/>
  <c r="J47" i="58"/>
  <c r="G48" i="60"/>
  <c r="K48" i="60"/>
  <c r="H48" i="60"/>
  <c r="J48" i="60"/>
  <c r="I48" i="60"/>
  <c r="H44" i="60"/>
  <c r="G44" i="60"/>
  <c r="J44" i="60"/>
  <c r="K44" i="60"/>
  <c r="I44" i="60"/>
  <c r="J43" i="58"/>
  <c r="I43" i="58"/>
  <c r="H43" i="58"/>
  <c r="G43" i="58"/>
  <c r="K43" i="58"/>
  <c r="K48" i="61"/>
  <c r="G48" i="61"/>
  <c r="J48" i="61"/>
  <c r="I48" i="61"/>
  <c r="H48" i="61"/>
  <c r="K43" i="60"/>
  <c r="J43" i="60"/>
  <c r="G43" i="60"/>
  <c r="I43" i="60"/>
  <c r="H43" i="60"/>
  <c r="K41" i="58"/>
  <c r="J41" i="58"/>
  <c r="I41" i="58"/>
  <c r="H41" i="58"/>
  <c r="G41" i="58"/>
  <c r="K47" i="59"/>
  <c r="G47" i="59"/>
  <c r="J47" i="59"/>
  <c r="I47" i="59"/>
  <c r="H47" i="59"/>
  <c r="K42" i="59"/>
  <c r="J42" i="59"/>
  <c r="I42" i="59"/>
  <c r="H42" i="59"/>
  <c r="G42" i="59"/>
  <c r="H41" i="60"/>
  <c r="G41" i="60"/>
  <c r="K41" i="60"/>
  <c r="J41" i="60"/>
  <c r="I41" i="60"/>
  <c r="J44" i="61"/>
  <c r="H44" i="61"/>
  <c r="K44" i="61"/>
  <c r="I44" i="61"/>
  <c r="G44" i="61"/>
  <c r="J41" i="61"/>
  <c r="H41" i="61"/>
  <c r="G41" i="61"/>
  <c r="I41" i="61"/>
  <c r="K41" i="61"/>
  <c r="H13" i="56"/>
  <c r="H31" i="56" s="1"/>
  <c r="G13" i="56"/>
  <c r="F13" i="56"/>
  <c r="E13" i="56"/>
  <c r="H13" i="55"/>
  <c r="G13" i="55"/>
  <c r="F13" i="55"/>
  <c r="E13" i="55"/>
  <c r="H13" i="54"/>
  <c r="H31" i="54" s="1"/>
  <c r="G13" i="54"/>
  <c r="F13" i="54"/>
  <c r="E13" i="54"/>
  <c r="G11" i="56"/>
  <c r="F11" i="56"/>
  <c r="H18" i="56" s="1"/>
  <c r="E11" i="56"/>
  <c r="G11" i="55"/>
  <c r="F11" i="55"/>
  <c r="E11" i="55"/>
  <c r="G11" i="54"/>
  <c r="F11" i="54"/>
  <c r="E11" i="54"/>
  <c r="H13" i="53"/>
  <c r="G13" i="53"/>
  <c r="F13" i="53"/>
  <c r="E13" i="53"/>
  <c r="G11" i="53"/>
  <c r="F11" i="53"/>
  <c r="E11" i="53"/>
  <c r="H10" i="53"/>
  <c r="H12" i="53"/>
  <c r="H10" i="56"/>
  <c r="H10" i="55"/>
  <c r="H12" i="55"/>
  <c r="H10" i="54"/>
  <c r="H12" i="54"/>
  <c r="G10" i="55"/>
  <c r="G12" i="55"/>
  <c r="F12" i="53"/>
  <c r="F12" i="56"/>
  <c r="F12" i="55"/>
  <c r="F12" i="54"/>
  <c r="F10" i="53"/>
  <c r="F10" i="56"/>
  <c r="F10" i="55"/>
  <c r="F10" i="54"/>
  <c r="Q45" i="56"/>
  <c r="F45" i="56"/>
  <c r="Q39" i="56"/>
  <c r="F39" i="56"/>
  <c r="H30" i="56"/>
  <c r="R23" i="56"/>
  <c r="H12" i="56"/>
  <c r="G12" i="56"/>
  <c r="E12" i="56"/>
  <c r="G10" i="56"/>
  <c r="E10" i="56"/>
  <c r="Q45" i="55"/>
  <c r="F45" i="55"/>
  <c r="Q39" i="55"/>
  <c r="F39" i="55"/>
  <c r="E12" i="55"/>
  <c r="E10" i="55"/>
  <c r="Q47" i="54"/>
  <c r="Q45" i="54"/>
  <c r="F45" i="54"/>
  <c r="Q39" i="54"/>
  <c r="F39" i="54"/>
  <c r="R29" i="54"/>
  <c r="G12" i="54"/>
  <c r="E12" i="54"/>
  <c r="H30" i="54"/>
  <c r="R34" i="54"/>
  <c r="R28" i="54"/>
  <c r="G10" i="54"/>
  <c r="E10" i="54"/>
  <c r="Q45" i="53"/>
  <c r="F45" i="53"/>
  <c r="Q39" i="53"/>
  <c r="F39" i="53"/>
  <c r="G12" i="53"/>
  <c r="E12" i="53"/>
  <c r="F47" i="53"/>
  <c r="G10" i="53"/>
  <c r="E10" i="53"/>
  <c r="B12" i="7"/>
  <c r="I47" i="53" l="1"/>
  <c r="H47" i="53"/>
  <c r="G47" i="53"/>
  <c r="K47" i="53"/>
  <c r="J47" i="53"/>
  <c r="H19" i="56"/>
  <c r="H31" i="55"/>
  <c r="F48" i="55"/>
  <c r="T42" i="54"/>
  <c r="R22" i="55"/>
  <c r="S43" i="53"/>
  <c r="R35" i="55"/>
  <c r="T48" i="56"/>
  <c r="R34" i="53"/>
  <c r="R22" i="53"/>
  <c r="R47" i="56"/>
  <c r="Q43" i="54"/>
  <c r="R23" i="55"/>
  <c r="T42" i="56"/>
  <c r="R43" i="53"/>
  <c r="R22" i="54"/>
  <c r="T42" i="55"/>
  <c r="R29" i="55"/>
  <c r="S48" i="56"/>
  <c r="G31" i="55"/>
  <c r="R23" i="54"/>
  <c r="G30" i="55"/>
  <c r="Q48" i="53"/>
  <c r="T48" i="53"/>
  <c r="Q43" i="53"/>
  <c r="S48" i="55"/>
  <c r="G31" i="56"/>
  <c r="S47" i="56"/>
  <c r="R34" i="56"/>
  <c r="R35" i="53"/>
  <c r="S41" i="54"/>
  <c r="T48" i="54"/>
  <c r="R22" i="56"/>
  <c r="R35" i="56"/>
  <c r="G30" i="54"/>
  <c r="H24" i="56"/>
  <c r="R28" i="55"/>
  <c r="T43" i="55"/>
  <c r="G24" i="56"/>
  <c r="T41" i="56"/>
  <c r="R28" i="56"/>
  <c r="G30" i="56"/>
  <c r="R23" i="53"/>
  <c r="R28" i="53"/>
  <c r="T43" i="56"/>
  <c r="R29" i="56"/>
  <c r="Q44" i="53"/>
  <c r="R35" i="54"/>
  <c r="T41" i="53"/>
  <c r="T43" i="53"/>
  <c r="R29" i="53"/>
  <c r="S41" i="55"/>
  <c r="R34" i="55"/>
  <c r="G18" i="56"/>
  <c r="H30" i="55"/>
  <c r="H25" i="55"/>
  <c r="H30" i="53"/>
  <c r="F48" i="56"/>
  <c r="F41" i="56"/>
  <c r="F44" i="56"/>
  <c r="F42" i="55"/>
  <c r="G18" i="53"/>
  <c r="H25" i="56"/>
  <c r="F44" i="55"/>
  <c r="H19" i="55"/>
  <c r="F42" i="53"/>
  <c r="F41" i="53"/>
  <c r="H31" i="53"/>
  <c r="G30" i="53"/>
  <c r="S48" i="53"/>
  <c r="T47" i="53"/>
  <c r="H25" i="54"/>
  <c r="G25" i="54"/>
  <c r="H24" i="54"/>
  <c r="Q42" i="53"/>
  <c r="R41" i="53"/>
  <c r="T48" i="55"/>
  <c r="H25" i="53"/>
  <c r="G25" i="53"/>
  <c r="F42" i="54"/>
  <c r="F44" i="54"/>
  <c r="F43" i="54"/>
  <c r="F48" i="54"/>
  <c r="F47" i="54"/>
  <c r="G24" i="53"/>
  <c r="T44" i="53"/>
  <c r="S47" i="53"/>
  <c r="G31" i="54"/>
  <c r="T44" i="54"/>
  <c r="T43" i="54"/>
  <c r="Q44" i="54"/>
  <c r="S43" i="54"/>
  <c r="S48" i="54"/>
  <c r="T47" i="54"/>
  <c r="Q48" i="54"/>
  <c r="S47" i="54"/>
  <c r="H19" i="53"/>
  <c r="G19" i="53"/>
  <c r="H18" i="53"/>
  <c r="F44" i="53"/>
  <c r="F43" i="53"/>
  <c r="Q47" i="53"/>
  <c r="G24" i="54"/>
  <c r="G31" i="53"/>
  <c r="Q41" i="53"/>
  <c r="T42" i="53"/>
  <c r="S42" i="53"/>
  <c r="R42" i="53"/>
  <c r="S41" i="53"/>
  <c r="H24" i="53"/>
  <c r="H19" i="54"/>
  <c r="G19" i="54"/>
  <c r="H18" i="54"/>
  <c r="T44" i="55"/>
  <c r="Q44" i="55"/>
  <c r="Q43" i="55"/>
  <c r="F48" i="53"/>
  <c r="G18" i="54"/>
  <c r="T41" i="54"/>
  <c r="Q42" i="54"/>
  <c r="Q41" i="54"/>
  <c r="T44" i="56"/>
  <c r="F42" i="56"/>
  <c r="S43" i="55"/>
  <c r="G18" i="55"/>
  <c r="G24" i="55"/>
  <c r="F43" i="55"/>
  <c r="F47" i="55"/>
  <c r="R47" i="55"/>
  <c r="S41" i="56"/>
  <c r="Q43" i="56"/>
  <c r="Q47" i="56"/>
  <c r="R44" i="53"/>
  <c r="R41" i="54"/>
  <c r="R42" i="54"/>
  <c r="F41" i="54"/>
  <c r="H18" i="55"/>
  <c r="H24" i="55"/>
  <c r="Q41" i="55"/>
  <c r="S47" i="55"/>
  <c r="Q48" i="55"/>
  <c r="F43" i="56"/>
  <c r="R43" i="56"/>
  <c r="F47" i="56"/>
  <c r="Q47" i="55"/>
  <c r="R47" i="53"/>
  <c r="R48" i="53"/>
  <c r="S44" i="53"/>
  <c r="R43" i="54"/>
  <c r="R44" i="54"/>
  <c r="S42" i="54"/>
  <c r="R41" i="55"/>
  <c r="R42" i="55"/>
  <c r="G19" i="55"/>
  <c r="G25" i="55"/>
  <c r="F41" i="55"/>
  <c r="T47" i="55"/>
  <c r="R48" i="55"/>
  <c r="Q41" i="56"/>
  <c r="S43" i="56"/>
  <c r="Q44" i="56"/>
  <c r="Q48" i="56"/>
  <c r="R47" i="54"/>
  <c r="R48" i="54"/>
  <c r="S44" i="54"/>
  <c r="R43" i="55"/>
  <c r="R44" i="55"/>
  <c r="S42" i="55"/>
  <c r="Q42" i="55"/>
  <c r="R42" i="56"/>
  <c r="G19" i="56"/>
  <c r="G25" i="56"/>
  <c r="R41" i="56"/>
  <c r="R44" i="56"/>
  <c r="T47" i="56"/>
  <c r="R48" i="56"/>
  <c r="S44" i="55"/>
  <c r="T41" i="55"/>
  <c r="S42" i="56"/>
  <c r="Q42" i="56"/>
  <c r="S44" i="56"/>
  <c r="Y12" i="23"/>
  <c r="Y10" i="23"/>
  <c r="Y13" i="23"/>
  <c r="Y14" i="23"/>
  <c r="X11" i="23"/>
  <c r="Y9" i="23"/>
  <c r="H41" i="55" l="1"/>
  <c r="K41" i="55"/>
  <c r="I41" i="55"/>
  <c r="J41" i="55"/>
  <c r="G41" i="55"/>
  <c r="G44" i="56"/>
  <c r="K44" i="56"/>
  <c r="I44" i="56"/>
  <c r="J44" i="56"/>
  <c r="H44" i="56"/>
  <c r="K42" i="56"/>
  <c r="J42" i="56"/>
  <c r="I42" i="56"/>
  <c r="H42" i="56"/>
  <c r="G42" i="56"/>
  <c r="K48" i="54"/>
  <c r="J48" i="54"/>
  <c r="H48" i="54"/>
  <c r="I48" i="54"/>
  <c r="G48" i="54"/>
  <c r="I41" i="56"/>
  <c r="H41" i="56"/>
  <c r="G41" i="56"/>
  <c r="K41" i="56"/>
  <c r="J41" i="56"/>
  <c r="H48" i="55"/>
  <c r="G48" i="55"/>
  <c r="K48" i="55"/>
  <c r="J48" i="55"/>
  <c r="I48" i="55"/>
  <c r="K47" i="54"/>
  <c r="J47" i="54"/>
  <c r="I47" i="54"/>
  <c r="H47" i="54"/>
  <c r="G47" i="54"/>
  <c r="G43" i="54"/>
  <c r="J43" i="54"/>
  <c r="K43" i="54"/>
  <c r="I43" i="54"/>
  <c r="H43" i="54"/>
  <c r="K48" i="56"/>
  <c r="J48" i="56"/>
  <c r="I48" i="56"/>
  <c r="H48" i="56"/>
  <c r="G48" i="56"/>
  <c r="I44" i="54"/>
  <c r="H44" i="54"/>
  <c r="G44" i="54"/>
  <c r="K44" i="54"/>
  <c r="J44" i="54"/>
  <c r="I47" i="56"/>
  <c r="H47" i="56"/>
  <c r="G47" i="56"/>
  <c r="K47" i="56"/>
  <c r="J47" i="56"/>
  <c r="K41" i="54"/>
  <c r="J41" i="54"/>
  <c r="I41" i="54"/>
  <c r="H41" i="54"/>
  <c r="G41" i="54"/>
  <c r="H47" i="55"/>
  <c r="K47" i="55"/>
  <c r="J47" i="55"/>
  <c r="I47" i="55"/>
  <c r="G47" i="55"/>
  <c r="K42" i="54"/>
  <c r="J42" i="54"/>
  <c r="I42" i="54"/>
  <c r="H42" i="54"/>
  <c r="G42" i="54"/>
  <c r="K44" i="55"/>
  <c r="J44" i="55"/>
  <c r="I44" i="55"/>
  <c r="H44" i="55"/>
  <c r="G44" i="55"/>
  <c r="J43" i="55"/>
  <c r="I43" i="55"/>
  <c r="H43" i="55"/>
  <c r="G43" i="55"/>
  <c r="K43" i="55"/>
  <c r="K43" i="56"/>
  <c r="J43" i="56"/>
  <c r="H43" i="56"/>
  <c r="G43" i="56"/>
  <c r="I43" i="56"/>
  <c r="H42" i="55"/>
  <c r="G42" i="55"/>
  <c r="J42" i="55"/>
  <c r="K42" i="55"/>
  <c r="I42" i="55"/>
  <c r="K43" i="53"/>
  <c r="J43" i="53"/>
  <c r="I43" i="53"/>
  <c r="G43" i="53"/>
  <c r="H43" i="53"/>
  <c r="I41" i="53"/>
  <c r="H41" i="53"/>
  <c r="G41" i="53"/>
  <c r="K41" i="53"/>
  <c r="J41" i="53"/>
  <c r="K42" i="53"/>
  <c r="J42" i="53"/>
  <c r="I42" i="53"/>
  <c r="H42" i="53"/>
  <c r="G42" i="53"/>
  <c r="K48" i="53"/>
  <c r="J48" i="53"/>
  <c r="I48" i="53"/>
  <c r="H48" i="53"/>
  <c r="G48" i="53"/>
  <c r="G44" i="53"/>
  <c r="J44" i="53"/>
  <c r="K44" i="53"/>
  <c r="I44" i="53"/>
  <c r="H44" i="53"/>
  <c r="P11" i="23"/>
  <c r="G12" i="23"/>
  <c r="G11" i="23"/>
  <c r="J26" i="9" l="1"/>
  <c r="K26" i="9" s="1"/>
  <c r="Q53" i="46" l="1"/>
  <c r="F53" i="46"/>
  <c r="Q45" i="36"/>
  <c r="I37" i="7"/>
  <c r="L26" i="9" l="1"/>
  <c r="N55" i="46" l="1"/>
  <c r="N51" i="46"/>
  <c r="N49" i="46"/>
  <c r="N47" i="46"/>
  <c r="Q45" i="46"/>
  <c r="N16" i="46"/>
  <c r="N14" i="46"/>
  <c r="N12" i="46"/>
  <c r="F45" i="35"/>
  <c r="F39" i="35"/>
  <c r="N47" i="36"/>
  <c r="N43" i="36"/>
  <c r="N41" i="36"/>
  <c r="Q39" i="36"/>
  <c r="N16" i="36"/>
  <c r="N14" i="36"/>
  <c r="N12" i="36"/>
  <c r="F45" i="36"/>
  <c r="F39" i="36"/>
  <c r="F45" i="46"/>
  <c r="F53" i="45"/>
  <c r="F45" i="45"/>
  <c r="N55" i="44"/>
  <c r="Q53" i="44"/>
  <c r="N51" i="44"/>
  <c r="N49" i="44"/>
  <c r="N47" i="44"/>
  <c r="Q45" i="44"/>
  <c r="N16" i="44"/>
  <c r="N14" i="44"/>
  <c r="N12" i="44"/>
  <c r="F53" i="44"/>
  <c r="F45" i="44"/>
  <c r="F53" i="43"/>
  <c r="F45" i="43"/>
  <c r="N55" i="42"/>
  <c r="Q53" i="42"/>
  <c r="N51" i="42"/>
  <c r="N49" i="42"/>
  <c r="N47" i="42"/>
  <c r="Q45" i="42"/>
  <c r="N16" i="42"/>
  <c r="N14" i="42"/>
  <c r="N12" i="42"/>
  <c r="F53" i="42"/>
  <c r="F45" i="42"/>
  <c r="F53" i="41"/>
  <c r="F45" i="41"/>
  <c r="O16" i="41"/>
  <c r="O14" i="41"/>
  <c r="O12" i="41"/>
  <c r="N55" i="39"/>
  <c r="Q53" i="39"/>
  <c r="N51" i="39"/>
  <c r="N49" i="39"/>
  <c r="N47" i="39"/>
  <c r="Q45" i="39"/>
  <c r="N16" i="39"/>
  <c r="N14" i="39"/>
  <c r="N12" i="39"/>
  <c r="F53" i="39"/>
  <c r="F45" i="39"/>
  <c r="N55" i="38"/>
  <c r="Q53" i="38"/>
  <c r="N51" i="38"/>
  <c r="N49" i="38"/>
  <c r="N47" i="38"/>
  <c r="Q45" i="38"/>
  <c r="F53" i="38"/>
  <c r="F45" i="38"/>
  <c r="N16" i="38"/>
  <c r="N14" i="38"/>
  <c r="N12" i="38"/>
  <c r="N55" i="30"/>
  <c r="Q53" i="30"/>
  <c r="N51" i="30"/>
  <c r="N49" i="30"/>
  <c r="N47" i="30"/>
  <c r="Q45" i="30"/>
  <c r="N16" i="30"/>
  <c r="N14" i="30"/>
  <c r="N12" i="30"/>
  <c r="F53" i="30"/>
  <c r="F45" i="30"/>
  <c r="N16" i="19"/>
  <c r="N14" i="19"/>
  <c r="N12" i="19"/>
  <c r="N55" i="19"/>
  <c r="Q53" i="19"/>
  <c r="N51" i="19"/>
  <c r="N49" i="19"/>
  <c r="N47" i="19"/>
  <c r="Q45" i="19"/>
  <c r="F53" i="19"/>
  <c r="F45" i="19"/>
  <c r="O28" i="39" l="1"/>
  <c r="E10" i="46" l="1"/>
  <c r="Y5" i="23" l="1"/>
  <c r="Y6" i="23"/>
  <c r="Y7" i="23"/>
  <c r="Y8" i="23"/>
  <c r="D36" i="43" s="1"/>
  <c r="O40" i="46"/>
  <c r="O34" i="46"/>
  <c r="O28" i="46"/>
  <c r="O22" i="46"/>
  <c r="E13" i="46"/>
  <c r="E12" i="46"/>
  <c r="E11" i="46"/>
  <c r="N36" i="45"/>
  <c r="N30" i="45"/>
  <c r="N24" i="45"/>
  <c r="N18" i="45"/>
  <c r="E13" i="45"/>
  <c r="E12" i="45"/>
  <c r="E11" i="45"/>
  <c r="E10" i="45"/>
  <c r="O40" i="44"/>
  <c r="D36" i="44"/>
  <c r="O34" i="44"/>
  <c r="O28" i="44"/>
  <c r="O22" i="44"/>
  <c r="E13" i="44"/>
  <c r="E12" i="44"/>
  <c r="E11" i="44"/>
  <c r="E10" i="44"/>
  <c r="L36" i="43"/>
  <c r="L30" i="43"/>
  <c r="L24" i="43"/>
  <c r="L18" i="43"/>
  <c r="E13" i="43"/>
  <c r="E12" i="43"/>
  <c r="E11" i="43"/>
  <c r="E10" i="43"/>
  <c r="O40" i="42"/>
  <c r="O34" i="42"/>
  <c r="O28" i="42"/>
  <c r="O22" i="42"/>
  <c r="E13" i="42"/>
  <c r="E12" i="42"/>
  <c r="E11" i="42"/>
  <c r="E10" i="42"/>
  <c r="P40" i="41"/>
  <c r="P34" i="41"/>
  <c r="P28" i="41"/>
  <c r="P22" i="41"/>
  <c r="E13" i="41"/>
  <c r="E12" i="41"/>
  <c r="E11" i="41"/>
  <c r="E10" i="41"/>
  <c r="P9" i="23"/>
  <c r="G9" i="23"/>
  <c r="P8" i="23"/>
  <c r="G8" i="23"/>
  <c r="P7" i="23"/>
  <c r="G7" i="23"/>
  <c r="P6" i="23"/>
  <c r="G6" i="23"/>
  <c r="J7" i="9"/>
  <c r="K7" i="9" s="1"/>
  <c r="L7" i="9" s="1"/>
  <c r="O7" i="9"/>
  <c r="P7" i="9" s="1"/>
  <c r="Q7" i="9" s="1"/>
  <c r="J8" i="9"/>
  <c r="K8" i="9" s="1"/>
  <c r="L8" i="9" s="1"/>
  <c r="O8" i="9"/>
  <c r="P8" i="9" s="1"/>
  <c r="Q8" i="9" s="1"/>
  <c r="J9" i="9"/>
  <c r="M10" i="43" s="1"/>
  <c r="O9" i="9"/>
  <c r="P9" i="9" s="1"/>
  <c r="Q9" i="9" s="1"/>
  <c r="J10" i="9"/>
  <c r="K10" i="9" s="1"/>
  <c r="L10" i="9" s="1"/>
  <c r="O10" i="9"/>
  <c r="P10" i="9" s="1"/>
  <c r="O24" i="9"/>
  <c r="P24" i="9" s="1"/>
  <c r="Q24" i="9" s="1"/>
  <c r="J24" i="9"/>
  <c r="K24" i="9" s="1"/>
  <c r="L24" i="9" s="1"/>
  <c r="O23" i="9"/>
  <c r="P23" i="9" s="1"/>
  <c r="J23" i="9"/>
  <c r="K23" i="9" s="1"/>
  <c r="O22" i="9"/>
  <c r="P22" i="9" s="1"/>
  <c r="J22" i="9"/>
  <c r="K22" i="9" s="1"/>
  <c r="L22" i="9" s="1"/>
  <c r="O21" i="9"/>
  <c r="P21" i="9" s="1"/>
  <c r="Q21" i="9" s="1"/>
  <c r="J21" i="9"/>
  <c r="K21" i="9" s="1"/>
  <c r="L21" i="9" s="1"/>
  <c r="S22" i="9" l="1"/>
  <c r="Q22" i="9"/>
  <c r="S23" i="9"/>
  <c r="T11" i="44" s="1"/>
  <c r="Q56" i="44" s="1"/>
  <c r="Q23" i="9"/>
  <c r="M23" i="9"/>
  <c r="L23" i="9"/>
  <c r="P11" i="45"/>
  <c r="Q19" i="45" s="1"/>
  <c r="Q10" i="9"/>
  <c r="Q11" i="45" s="1"/>
  <c r="Q25" i="45" s="1"/>
  <c r="Q10" i="42"/>
  <c r="Q16" i="42" s="1"/>
  <c r="T47" i="42" s="1"/>
  <c r="P10" i="42"/>
  <c r="P14" i="42" s="1"/>
  <c r="P11" i="46"/>
  <c r="C55" i="39"/>
  <c r="C55" i="38"/>
  <c r="D18" i="41"/>
  <c r="C47" i="41"/>
  <c r="C47" i="42"/>
  <c r="C55" i="30"/>
  <c r="C55" i="19"/>
  <c r="C55" i="41"/>
  <c r="C55" i="42"/>
  <c r="C51" i="38"/>
  <c r="C51" i="39"/>
  <c r="D30" i="42"/>
  <c r="C51" i="42"/>
  <c r="C51" i="41"/>
  <c r="D36" i="41"/>
  <c r="D36" i="42"/>
  <c r="D18" i="44"/>
  <c r="C47" i="43"/>
  <c r="C47" i="44"/>
  <c r="D18" i="46"/>
  <c r="C47" i="46"/>
  <c r="C47" i="45"/>
  <c r="D36" i="45"/>
  <c r="C55" i="46"/>
  <c r="C55" i="45"/>
  <c r="C47" i="38"/>
  <c r="C47" i="39"/>
  <c r="D30" i="43"/>
  <c r="C51" i="43"/>
  <c r="C51" i="44"/>
  <c r="D30" i="45"/>
  <c r="C51" i="46"/>
  <c r="C51" i="45"/>
  <c r="C55" i="43"/>
  <c r="C55" i="44"/>
  <c r="D30" i="41"/>
  <c r="D18" i="42"/>
  <c r="D36" i="46"/>
  <c r="D30" i="46"/>
  <c r="D30" i="44"/>
  <c r="D18" i="45"/>
  <c r="D18" i="43"/>
  <c r="O10" i="45"/>
  <c r="O11" i="45"/>
  <c r="M11" i="43"/>
  <c r="K9" i="9"/>
  <c r="P11" i="42"/>
  <c r="P10" i="44"/>
  <c r="N11" i="43"/>
  <c r="O19" i="43" s="1"/>
  <c r="Q10" i="41"/>
  <c r="P11" i="44"/>
  <c r="Q11" i="41"/>
  <c r="P10" i="46"/>
  <c r="Q11" i="46"/>
  <c r="Q10" i="46"/>
  <c r="P10" i="45"/>
  <c r="Q18" i="45" s="1"/>
  <c r="Q11" i="42"/>
  <c r="Q10" i="44"/>
  <c r="Q47" i="44" s="1"/>
  <c r="R10" i="41"/>
  <c r="Q11" i="44"/>
  <c r="Q48" i="44" s="1"/>
  <c r="R11" i="41"/>
  <c r="R10" i="9"/>
  <c r="N10" i="9"/>
  <c r="S9" i="9"/>
  <c r="R9" i="9"/>
  <c r="O11" i="43"/>
  <c r="O25" i="43" s="1"/>
  <c r="R8" i="9"/>
  <c r="S8" i="9"/>
  <c r="M7" i="9"/>
  <c r="N7" i="9"/>
  <c r="M8" i="9"/>
  <c r="N8" i="9"/>
  <c r="R7" i="9"/>
  <c r="S7" i="9"/>
  <c r="S10" i="9"/>
  <c r="M10" i="9"/>
  <c r="N23" i="9"/>
  <c r="S24" i="9"/>
  <c r="T11" i="46" s="1"/>
  <c r="R24" i="9"/>
  <c r="N21" i="9"/>
  <c r="M21" i="9"/>
  <c r="R21" i="9"/>
  <c r="S21" i="9"/>
  <c r="N22" i="9"/>
  <c r="M22" i="9"/>
  <c r="N24" i="9"/>
  <c r="M24" i="9"/>
  <c r="S10" i="46" s="1"/>
  <c r="R22" i="9"/>
  <c r="R23" i="9"/>
  <c r="S10" i="44" l="1"/>
  <c r="Q51" i="44" s="1"/>
  <c r="T11" i="42"/>
  <c r="R41" i="42" s="1"/>
  <c r="S11" i="46"/>
  <c r="R35" i="46" s="1"/>
  <c r="T10" i="46"/>
  <c r="Q55" i="46" s="1"/>
  <c r="Q56" i="46"/>
  <c r="R41" i="46"/>
  <c r="R23" i="46"/>
  <c r="Q48" i="46"/>
  <c r="Q51" i="46"/>
  <c r="R34" i="46"/>
  <c r="R22" i="46"/>
  <c r="Q47" i="46"/>
  <c r="N9" i="9"/>
  <c r="Q10" i="43" s="1"/>
  <c r="L9" i="9"/>
  <c r="T11" i="41"/>
  <c r="T15" i="41" s="1"/>
  <c r="Q14" i="42"/>
  <c r="S47" i="42" s="1"/>
  <c r="T10" i="44"/>
  <c r="Q55" i="44" s="1"/>
  <c r="R22" i="42"/>
  <c r="P16" i="42"/>
  <c r="P12" i="42"/>
  <c r="T13" i="44"/>
  <c r="R56" i="44" s="1"/>
  <c r="T15" i="44"/>
  <c r="S56" i="44" s="1"/>
  <c r="Q47" i="42"/>
  <c r="R41" i="44"/>
  <c r="T17" i="44"/>
  <c r="T56" i="44" s="1"/>
  <c r="Q12" i="42"/>
  <c r="R47" i="42" s="1"/>
  <c r="R10" i="42"/>
  <c r="R28" i="42" s="1"/>
  <c r="P16" i="46"/>
  <c r="P12" i="46"/>
  <c r="P14" i="46"/>
  <c r="Q16" i="46"/>
  <c r="T47" i="46" s="1"/>
  <c r="Q14" i="46"/>
  <c r="S47" i="46" s="1"/>
  <c r="Q12" i="46"/>
  <c r="R47" i="46" s="1"/>
  <c r="R11" i="46"/>
  <c r="Q15" i="46"/>
  <c r="S48" i="46" s="1"/>
  <c r="Q13" i="46"/>
  <c r="R48" i="46" s="1"/>
  <c r="Q17" i="46"/>
  <c r="T48" i="46" s="1"/>
  <c r="P15" i="46"/>
  <c r="P17" i="46"/>
  <c r="P13" i="46"/>
  <c r="N10" i="43"/>
  <c r="O18" i="43" s="1"/>
  <c r="Q10" i="45"/>
  <c r="Q24" i="45" s="1"/>
  <c r="R23" i="42"/>
  <c r="Q17" i="42"/>
  <c r="T48" i="42" s="1"/>
  <c r="Q13" i="42"/>
  <c r="R48" i="42" s="1"/>
  <c r="Q15" i="42"/>
  <c r="S48" i="42" s="1"/>
  <c r="Q48" i="42"/>
  <c r="P17" i="42"/>
  <c r="P15" i="42"/>
  <c r="P13" i="42"/>
  <c r="T13" i="46"/>
  <c r="R56" i="46" s="1"/>
  <c r="T17" i="46"/>
  <c r="T56" i="46" s="1"/>
  <c r="T15" i="46"/>
  <c r="S56" i="46" s="1"/>
  <c r="S12" i="46"/>
  <c r="R51" i="46" s="1"/>
  <c r="S16" i="46"/>
  <c r="T51" i="46" s="1"/>
  <c r="S14" i="46"/>
  <c r="S51" i="46" s="1"/>
  <c r="R23" i="44"/>
  <c r="Q13" i="44"/>
  <c r="R48" i="44" s="1"/>
  <c r="Q17" i="44"/>
  <c r="T48" i="44" s="1"/>
  <c r="Q15" i="44"/>
  <c r="S48" i="44" s="1"/>
  <c r="P13" i="44"/>
  <c r="P17" i="44"/>
  <c r="P15" i="44"/>
  <c r="R22" i="44"/>
  <c r="Q14" i="44"/>
  <c r="S47" i="44" s="1"/>
  <c r="Q12" i="44"/>
  <c r="R47" i="44" s="1"/>
  <c r="Q16" i="44"/>
  <c r="T47" i="44" s="1"/>
  <c r="P16" i="44"/>
  <c r="P14" i="44"/>
  <c r="P12" i="44"/>
  <c r="S23" i="41"/>
  <c r="R17" i="41"/>
  <c r="R15" i="41"/>
  <c r="R13" i="41"/>
  <c r="S22" i="41"/>
  <c r="R12" i="41"/>
  <c r="R16" i="41"/>
  <c r="R14" i="41"/>
  <c r="Q17" i="41"/>
  <c r="Q13" i="41"/>
  <c r="Q15" i="41"/>
  <c r="Q14" i="41"/>
  <c r="Q12" i="41"/>
  <c r="Q16" i="41"/>
  <c r="S11" i="41"/>
  <c r="S10" i="45"/>
  <c r="R11" i="45"/>
  <c r="Q31" i="45" s="1"/>
  <c r="S11" i="45"/>
  <c r="M9" i="9"/>
  <c r="R10" i="45" s="1"/>
  <c r="Q30" i="45" s="1"/>
  <c r="R10" i="46"/>
  <c r="Q11" i="43"/>
  <c r="P11" i="43"/>
  <c r="O31" i="43" s="1"/>
  <c r="R11" i="44"/>
  <c r="Q50" i="44" s="1"/>
  <c r="S11" i="44"/>
  <c r="Q52" i="44" s="1"/>
  <c r="R10" i="44"/>
  <c r="Q49" i="44" s="1"/>
  <c r="T10" i="41"/>
  <c r="T10" i="42"/>
  <c r="S10" i="41"/>
  <c r="S28" i="41" s="1"/>
  <c r="S11" i="42"/>
  <c r="U11" i="41"/>
  <c r="R11" i="42"/>
  <c r="S10" i="42"/>
  <c r="U10" i="41"/>
  <c r="E5" i="40"/>
  <c r="S15" i="46" l="1"/>
  <c r="S52" i="46" s="1"/>
  <c r="S13" i="46"/>
  <c r="R52" i="46" s="1"/>
  <c r="R34" i="44"/>
  <c r="S12" i="44"/>
  <c r="R51" i="44" s="1"/>
  <c r="S14" i="44"/>
  <c r="S51" i="44" s="1"/>
  <c r="S16" i="44"/>
  <c r="T51" i="44" s="1"/>
  <c r="S17" i="46"/>
  <c r="T52" i="46" s="1"/>
  <c r="Q56" i="42"/>
  <c r="T17" i="42"/>
  <c r="T56" i="42" s="1"/>
  <c r="T15" i="42"/>
  <c r="S56" i="42" s="1"/>
  <c r="T14" i="46"/>
  <c r="S55" i="46" s="1"/>
  <c r="T12" i="46"/>
  <c r="R55" i="46" s="1"/>
  <c r="T13" i="42"/>
  <c r="R56" i="42" s="1"/>
  <c r="Q52" i="46"/>
  <c r="T16" i="46"/>
  <c r="T55" i="46" s="1"/>
  <c r="S35" i="41"/>
  <c r="T17" i="41"/>
  <c r="T13" i="41"/>
  <c r="R40" i="46"/>
  <c r="P10" i="43"/>
  <c r="O30" i="43" s="1"/>
  <c r="R15" i="46"/>
  <c r="S50" i="46" s="1"/>
  <c r="Q50" i="46"/>
  <c r="R29" i="46"/>
  <c r="R40" i="44"/>
  <c r="Q49" i="46"/>
  <c r="R28" i="46"/>
  <c r="R17" i="46"/>
  <c r="T50" i="46" s="1"/>
  <c r="R14" i="42"/>
  <c r="S49" i="42" s="1"/>
  <c r="O10" i="43"/>
  <c r="O24" i="43" s="1"/>
  <c r="R16" i="42"/>
  <c r="T49" i="42" s="1"/>
  <c r="R12" i="42"/>
  <c r="R49" i="42" s="1"/>
  <c r="T12" i="44"/>
  <c r="R55" i="44" s="1"/>
  <c r="T16" i="44"/>
  <c r="T55" i="44" s="1"/>
  <c r="T14" i="44"/>
  <c r="S55" i="44" s="1"/>
  <c r="R13" i="46"/>
  <c r="R50" i="46" s="1"/>
  <c r="Q49" i="42"/>
  <c r="R40" i="42"/>
  <c r="T16" i="42"/>
  <c r="T55" i="42" s="1"/>
  <c r="T14" i="42"/>
  <c r="S55" i="42" s="1"/>
  <c r="T12" i="42"/>
  <c r="R55" i="42" s="1"/>
  <c r="Q55" i="42"/>
  <c r="R34" i="42"/>
  <c r="S16" i="42"/>
  <c r="T51" i="42" s="1"/>
  <c r="S14" i="42"/>
  <c r="S51" i="42" s="1"/>
  <c r="S12" i="42"/>
  <c r="R51" i="42" s="1"/>
  <c r="Q51" i="42"/>
  <c r="R12" i="46"/>
  <c r="R49" i="46" s="1"/>
  <c r="R16" i="46"/>
  <c r="T49" i="46" s="1"/>
  <c r="R14" i="46"/>
  <c r="S49" i="46" s="1"/>
  <c r="R29" i="42"/>
  <c r="R15" i="42"/>
  <c r="S50" i="42" s="1"/>
  <c r="R13" i="42"/>
  <c r="R50" i="42" s="1"/>
  <c r="R17" i="42"/>
  <c r="T50" i="42" s="1"/>
  <c r="Q50" i="42"/>
  <c r="R35" i="42"/>
  <c r="S13" i="42"/>
  <c r="R52" i="42" s="1"/>
  <c r="S17" i="42"/>
  <c r="T52" i="42" s="1"/>
  <c r="S15" i="42"/>
  <c r="S52" i="42" s="1"/>
  <c r="Q52" i="42"/>
  <c r="R29" i="44"/>
  <c r="R13" i="44"/>
  <c r="R50" i="44" s="1"/>
  <c r="R17" i="44"/>
  <c r="T50" i="44" s="1"/>
  <c r="R15" i="44"/>
  <c r="S50" i="44" s="1"/>
  <c r="R28" i="44"/>
  <c r="R14" i="44"/>
  <c r="S49" i="44" s="1"/>
  <c r="R16" i="44"/>
  <c r="T49" i="44" s="1"/>
  <c r="R12" i="44"/>
  <c r="R49" i="44" s="1"/>
  <c r="R35" i="44"/>
  <c r="S17" i="44"/>
  <c r="T52" i="44" s="1"/>
  <c r="S15" i="44"/>
  <c r="S52" i="44" s="1"/>
  <c r="S13" i="44"/>
  <c r="R52" i="44" s="1"/>
  <c r="S34" i="41"/>
  <c r="T12" i="41"/>
  <c r="T16" i="41"/>
  <c r="T14" i="41"/>
  <c r="U15" i="41"/>
  <c r="U13" i="41"/>
  <c r="U17" i="41"/>
  <c r="S12" i="41"/>
  <c r="S14" i="41"/>
  <c r="S16" i="41"/>
  <c r="S29" i="41"/>
  <c r="S15" i="41"/>
  <c r="S13" i="41"/>
  <c r="S17" i="41"/>
  <c r="U12" i="41"/>
  <c r="U16" i="41"/>
  <c r="U14" i="41"/>
  <c r="O40" i="39"/>
  <c r="O34" i="39"/>
  <c r="O22" i="39"/>
  <c r="E13" i="39"/>
  <c r="E12" i="39"/>
  <c r="E11" i="39"/>
  <c r="E10" i="39"/>
  <c r="J20" i="9"/>
  <c r="K20" i="9" s="1"/>
  <c r="L20" i="9" s="1"/>
  <c r="O20" i="9"/>
  <c r="P11" i="39" s="1"/>
  <c r="J6" i="9"/>
  <c r="K6" i="9" s="1"/>
  <c r="O6" i="9"/>
  <c r="P6" i="9" s="1"/>
  <c r="Q6" i="9" s="1"/>
  <c r="D36" i="38"/>
  <c r="D30" i="38"/>
  <c r="D18" i="38"/>
  <c r="O40" i="38"/>
  <c r="O34" i="38"/>
  <c r="O28" i="38"/>
  <c r="O22" i="38"/>
  <c r="E13" i="38"/>
  <c r="E12" i="38"/>
  <c r="E11" i="38"/>
  <c r="E10" i="38"/>
  <c r="O34" i="36"/>
  <c r="O28" i="36"/>
  <c r="O22" i="36"/>
  <c r="N30" i="35"/>
  <c r="N24" i="35"/>
  <c r="N18" i="35"/>
  <c r="O25" i="9"/>
  <c r="O26" i="9"/>
  <c r="P26" i="9" s="1"/>
  <c r="Q26" i="9" s="1"/>
  <c r="O27" i="9"/>
  <c r="P27" i="9" s="1"/>
  <c r="Q27" i="9" s="1"/>
  <c r="O19" i="9"/>
  <c r="P11" i="30" s="1"/>
  <c r="O11" i="9"/>
  <c r="P11" i="9" s="1"/>
  <c r="O12" i="9"/>
  <c r="P12" i="9" s="1"/>
  <c r="Q12" i="9" s="1"/>
  <c r="O13" i="9"/>
  <c r="P13" i="9" s="1"/>
  <c r="Q13" i="9" s="1"/>
  <c r="O5" i="9"/>
  <c r="J25" i="9"/>
  <c r="P10" i="36"/>
  <c r="J27" i="9"/>
  <c r="O10" i="35" s="1"/>
  <c r="J19" i="9"/>
  <c r="P10" i="30" s="1"/>
  <c r="J11" i="9"/>
  <c r="K11" i="9" s="1"/>
  <c r="L11" i="9" s="1"/>
  <c r="J12" i="9"/>
  <c r="K12" i="9" s="1"/>
  <c r="J13" i="9"/>
  <c r="K13" i="9" s="1"/>
  <c r="J5" i="9"/>
  <c r="O40" i="30"/>
  <c r="O34" i="30"/>
  <c r="O28" i="30"/>
  <c r="O22" i="30"/>
  <c r="J50" i="7"/>
  <c r="I50" i="7"/>
  <c r="J37" i="7"/>
  <c r="E12" i="30" s="1"/>
  <c r="K22" i="26"/>
  <c r="G22" i="26"/>
  <c r="O21" i="26"/>
  <c r="K21" i="26"/>
  <c r="F21" i="26"/>
  <c r="G21" i="26" s="1"/>
  <c r="K20" i="26"/>
  <c r="G20" i="26"/>
  <c r="K19" i="26"/>
  <c r="F19" i="26"/>
  <c r="G19" i="26" s="1"/>
  <c r="K18" i="26"/>
  <c r="G18" i="26"/>
  <c r="J17" i="26"/>
  <c r="J23" i="26" s="1"/>
  <c r="J7" i="7"/>
  <c r="I7" i="7"/>
  <c r="C20" i="29"/>
  <c r="K51" i="7" s="1"/>
  <c r="C19" i="29"/>
  <c r="C18" i="29"/>
  <c r="C17" i="29"/>
  <c r="H5" i="29"/>
  <c r="D7" i="28"/>
  <c r="C7" i="28"/>
  <c r="D6" i="28"/>
  <c r="F10" i="26"/>
  <c r="E10" i="26"/>
  <c r="G9" i="26"/>
  <c r="G8" i="26"/>
  <c r="G7" i="26"/>
  <c r="G6" i="26"/>
  <c r="G5" i="26"/>
  <c r="G4" i="26"/>
  <c r="M38" i="7" l="1"/>
  <c r="M51" i="7"/>
  <c r="N51" i="7"/>
  <c r="L38" i="7"/>
  <c r="M8" i="7"/>
  <c r="L8" i="7"/>
  <c r="K50" i="7"/>
  <c r="F11" i="30" s="1"/>
  <c r="N8" i="7"/>
  <c r="K38" i="7"/>
  <c r="K8" i="7"/>
  <c r="N38" i="7"/>
  <c r="K21" i="7"/>
  <c r="L21" i="7"/>
  <c r="M21" i="7"/>
  <c r="N21" i="7"/>
  <c r="L20" i="7"/>
  <c r="N20" i="7"/>
  <c r="M20" i="7"/>
  <c r="K20" i="7"/>
  <c r="K11" i="7"/>
  <c r="F10" i="45" s="1"/>
  <c r="N52" i="7"/>
  <c r="N54" i="7"/>
  <c r="G13" i="44" s="1"/>
  <c r="H25" i="44" s="1"/>
  <c r="N39" i="7"/>
  <c r="N41" i="7"/>
  <c r="G12" i="46" s="1"/>
  <c r="K24" i="7"/>
  <c r="F11" i="43" s="1"/>
  <c r="H18" i="43" s="1"/>
  <c r="K22" i="7"/>
  <c r="N10" i="7"/>
  <c r="G12" i="43" s="1"/>
  <c r="L9" i="7"/>
  <c r="F12" i="41" s="1"/>
  <c r="M55" i="7"/>
  <c r="G11" i="46" s="1"/>
  <c r="H24" i="46" s="1"/>
  <c r="L25" i="7"/>
  <c r="F13" i="45" s="1"/>
  <c r="H19" i="45" s="1"/>
  <c r="M9" i="7"/>
  <c r="G10" i="41" s="1"/>
  <c r="N55" i="7"/>
  <c r="G13" i="46" s="1"/>
  <c r="H25" i="46" s="1"/>
  <c r="K25" i="7"/>
  <c r="F11" i="45" s="1"/>
  <c r="H18" i="45" s="1"/>
  <c r="N9" i="7"/>
  <c r="M22" i="7"/>
  <c r="M39" i="7"/>
  <c r="G10" i="42" s="1"/>
  <c r="L24" i="7"/>
  <c r="F13" i="43" s="1"/>
  <c r="H19" i="43" s="1"/>
  <c r="M10" i="7"/>
  <c r="G10" i="43" s="1"/>
  <c r="K53" i="7"/>
  <c r="F11" i="42" s="1"/>
  <c r="H18" i="42" s="1"/>
  <c r="K55" i="7"/>
  <c r="F11" i="46" s="1"/>
  <c r="H18" i="46" s="1"/>
  <c r="K40" i="7"/>
  <c r="F10" i="44" s="1"/>
  <c r="N25" i="7"/>
  <c r="G13" i="45" s="1"/>
  <c r="H25" i="45" s="1"/>
  <c r="N23" i="7"/>
  <c r="G13" i="41" s="1"/>
  <c r="H25" i="41" s="1"/>
  <c r="K9" i="7"/>
  <c r="L11" i="7"/>
  <c r="F12" i="45" s="1"/>
  <c r="M53" i="7"/>
  <c r="G11" i="42" s="1"/>
  <c r="H24" i="42" s="1"/>
  <c r="N11" i="7"/>
  <c r="G12" i="45" s="1"/>
  <c r="N40" i="7"/>
  <c r="G12" i="44" s="1"/>
  <c r="K23" i="7"/>
  <c r="F11" i="41" s="1"/>
  <c r="H18" i="41" s="1"/>
  <c r="M24" i="7"/>
  <c r="G11" i="43" s="1"/>
  <c r="H24" i="43" s="1"/>
  <c r="M54" i="7"/>
  <c r="G11" i="44" s="1"/>
  <c r="H24" i="44" s="1"/>
  <c r="L53" i="7"/>
  <c r="F13" i="42" s="1"/>
  <c r="H19" i="42" s="1"/>
  <c r="L55" i="7"/>
  <c r="F13" i="46" s="1"/>
  <c r="H19" i="46" s="1"/>
  <c r="L40" i="7"/>
  <c r="F12" i="44" s="1"/>
  <c r="M25" i="7"/>
  <c r="G11" i="45" s="1"/>
  <c r="H24" i="45" s="1"/>
  <c r="M23" i="7"/>
  <c r="G11" i="41" s="1"/>
  <c r="H24" i="41" s="1"/>
  <c r="M11" i="7"/>
  <c r="G10" i="45" s="1"/>
  <c r="M40" i="7"/>
  <c r="G10" i="44" s="1"/>
  <c r="L23" i="7"/>
  <c r="F13" i="41" s="1"/>
  <c r="H19" i="41" s="1"/>
  <c r="N53" i="7"/>
  <c r="G13" i="42" s="1"/>
  <c r="H25" i="42" s="1"/>
  <c r="L10" i="7"/>
  <c r="F12" i="43" s="1"/>
  <c r="M41" i="7"/>
  <c r="G10" i="46" s="1"/>
  <c r="L22" i="7"/>
  <c r="K52" i="7"/>
  <c r="K54" i="7"/>
  <c r="F11" i="44" s="1"/>
  <c r="H18" i="44" s="1"/>
  <c r="K39" i="7"/>
  <c r="K41" i="7"/>
  <c r="F10" i="46" s="1"/>
  <c r="N24" i="7"/>
  <c r="G13" i="43" s="1"/>
  <c r="H25" i="43" s="1"/>
  <c r="N22" i="7"/>
  <c r="K10" i="7"/>
  <c r="F10" i="43" s="1"/>
  <c r="L52" i="7"/>
  <c r="L54" i="7"/>
  <c r="F13" i="44" s="1"/>
  <c r="H19" i="44" s="1"/>
  <c r="L39" i="7"/>
  <c r="F12" i="42" s="1"/>
  <c r="F48" i="42" s="1"/>
  <c r="H48" i="42" s="1"/>
  <c r="L41" i="7"/>
  <c r="F12" i="46" s="1"/>
  <c r="M52" i="7"/>
  <c r="L51" i="7"/>
  <c r="Q8" i="7"/>
  <c r="Q21" i="7"/>
  <c r="R21" i="7"/>
  <c r="Q20" i="7"/>
  <c r="R20" i="7"/>
  <c r="P51" i="7"/>
  <c r="P21" i="7"/>
  <c r="P20" i="7"/>
  <c r="O21" i="7"/>
  <c r="O20" i="7"/>
  <c r="P50" i="7"/>
  <c r="H13" i="30" s="1"/>
  <c r="K7" i="7"/>
  <c r="M7" i="7"/>
  <c r="G10" i="19" s="1"/>
  <c r="G24" i="19" s="1"/>
  <c r="L6" i="9"/>
  <c r="M6" i="9"/>
  <c r="N6" i="9"/>
  <c r="S11" i="9"/>
  <c r="Q11" i="9"/>
  <c r="M12" i="9"/>
  <c r="L12" i="9"/>
  <c r="R10" i="38"/>
  <c r="Q49" i="38" s="1"/>
  <c r="P20" i="9"/>
  <c r="Q20" i="9" s="1"/>
  <c r="N13" i="9"/>
  <c r="L13" i="9"/>
  <c r="P15" i="30"/>
  <c r="P13" i="30"/>
  <c r="P17" i="30"/>
  <c r="P14" i="30"/>
  <c r="P16" i="30"/>
  <c r="P12" i="30"/>
  <c r="P14" i="36"/>
  <c r="P12" i="36"/>
  <c r="P16" i="36"/>
  <c r="P13" i="39"/>
  <c r="P17" i="39"/>
  <c r="P15" i="39"/>
  <c r="P22" i="7"/>
  <c r="P10" i="7"/>
  <c r="P25" i="7"/>
  <c r="P24" i="7"/>
  <c r="P23" i="7"/>
  <c r="P9" i="7"/>
  <c r="P52" i="7"/>
  <c r="P53" i="7"/>
  <c r="P54" i="7"/>
  <c r="P55" i="7"/>
  <c r="P39" i="7"/>
  <c r="P40" i="7"/>
  <c r="P41" i="7"/>
  <c r="P11" i="7"/>
  <c r="Q52" i="7"/>
  <c r="Q53" i="7"/>
  <c r="Q54" i="7"/>
  <c r="Q55" i="7"/>
  <c r="Q39" i="7"/>
  <c r="Q40" i="7"/>
  <c r="Q41" i="7"/>
  <c r="R25" i="7"/>
  <c r="R24" i="7"/>
  <c r="R23" i="7"/>
  <c r="R22" i="7"/>
  <c r="R52" i="7"/>
  <c r="R53" i="7"/>
  <c r="R54" i="7"/>
  <c r="R55" i="7"/>
  <c r="R39" i="7"/>
  <c r="R40" i="7"/>
  <c r="R41" i="7"/>
  <c r="Q25" i="7"/>
  <c r="Q24" i="7"/>
  <c r="Q23" i="7"/>
  <c r="Q22" i="7"/>
  <c r="Q9" i="7"/>
  <c r="Q10" i="7"/>
  <c r="Q11" i="7"/>
  <c r="R9" i="7"/>
  <c r="R10" i="7"/>
  <c r="R11" i="7"/>
  <c r="O9" i="7"/>
  <c r="O25" i="7"/>
  <c r="O24" i="7"/>
  <c r="O23" i="7"/>
  <c r="O22" i="7"/>
  <c r="O11" i="7"/>
  <c r="O10" i="7"/>
  <c r="O52" i="7"/>
  <c r="O53" i="7"/>
  <c r="O54" i="7"/>
  <c r="O55" i="7"/>
  <c r="H11" i="46" s="1"/>
  <c r="H30" i="46" s="1"/>
  <c r="O39" i="7"/>
  <c r="O40" i="7"/>
  <c r="O41" i="7"/>
  <c r="E13" i="30"/>
  <c r="D18" i="39"/>
  <c r="D30" i="39"/>
  <c r="D36" i="39"/>
  <c r="K25" i="9"/>
  <c r="N25" i="9" s="1"/>
  <c r="M37" i="7"/>
  <c r="G10" i="30" s="1"/>
  <c r="F49" i="30" s="1"/>
  <c r="E10" i="30"/>
  <c r="O50" i="7"/>
  <c r="H11" i="30" s="1"/>
  <c r="E11" i="30"/>
  <c r="P37" i="7"/>
  <c r="H12" i="30" s="1"/>
  <c r="P7" i="7"/>
  <c r="O7" i="7"/>
  <c r="P38" i="7"/>
  <c r="O8" i="7"/>
  <c r="Q51" i="7"/>
  <c r="R38" i="7"/>
  <c r="R51" i="7"/>
  <c r="Q38" i="7"/>
  <c r="R8" i="7"/>
  <c r="P8" i="7"/>
  <c r="O38" i="7"/>
  <c r="O51" i="7"/>
  <c r="Q10" i="39"/>
  <c r="Q47" i="39" s="1"/>
  <c r="P10" i="39"/>
  <c r="P11" i="38"/>
  <c r="Q11" i="39"/>
  <c r="Q48" i="39" s="1"/>
  <c r="K19" i="9"/>
  <c r="P19" i="9"/>
  <c r="K5" i="9"/>
  <c r="L5" i="9" s="1"/>
  <c r="R11" i="39"/>
  <c r="Q50" i="39" s="1"/>
  <c r="P10" i="38"/>
  <c r="R6" i="9"/>
  <c r="S6" i="9"/>
  <c r="T11" i="38" s="1"/>
  <c r="Q56" i="38" s="1"/>
  <c r="P25" i="9"/>
  <c r="M26" i="9"/>
  <c r="P11" i="36"/>
  <c r="K27" i="9"/>
  <c r="L27" i="9" s="1"/>
  <c r="O11" i="35"/>
  <c r="Q10" i="38"/>
  <c r="Q47" i="38" s="1"/>
  <c r="Q11" i="38"/>
  <c r="Q48" i="38" s="1"/>
  <c r="Q11" i="36"/>
  <c r="P11" i="35"/>
  <c r="Q19" i="35" s="1"/>
  <c r="N12" i="9"/>
  <c r="M13" i="9"/>
  <c r="R26" i="9"/>
  <c r="S26" i="9"/>
  <c r="R27" i="9"/>
  <c r="S27" i="9"/>
  <c r="S13" i="9"/>
  <c r="R13" i="9"/>
  <c r="S12" i="9"/>
  <c r="R12" i="9"/>
  <c r="N11" i="9"/>
  <c r="R11" i="9"/>
  <c r="M11" i="9"/>
  <c r="P5" i="9"/>
  <c r="Q5" i="9" s="1"/>
  <c r="Q37" i="7"/>
  <c r="Q50" i="7"/>
  <c r="R50" i="7"/>
  <c r="L37" i="7"/>
  <c r="L50" i="7"/>
  <c r="K37" i="7"/>
  <c r="M50" i="7"/>
  <c r="N37" i="7"/>
  <c r="O37" i="7"/>
  <c r="R37" i="7"/>
  <c r="N50" i="7"/>
  <c r="N7" i="7"/>
  <c r="G10" i="26"/>
  <c r="F17" i="26"/>
  <c r="K17" i="26"/>
  <c r="Q7" i="7"/>
  <c r="L7" i="7"/>
  <c r="R7" i="7"/>
  <c r="O28" i="19"/>
  <c r="J18" i="14"/>
  <c r="J24" i="14"/>
  <c r="J30" i="14"/>
  <c r="J30" i="8"/>
  <c r="J24" i="8"/>
  <c r="J18" i="8"/>
  <c r="O34" i="19"/>
  <c r="O22" i="19"/>
  <c r="O40" i="19"/>
  <c r="P12" i="23"/>
  <c r="D36" i="30"/>
  <c r="P10" i="23"/>
  <c r="P13" i="23"/>
  <c r="P14" i="23"/>
  <c r="P5" i="23"/>
  <c r="G10" i="23"/>
  <c r="G13" i="23"/>
  <c r="G14" i="23"/>
  <c r="G5" i="23"/>
  <c r="F48" i="41" l="1"/>
  <c r="J48" i="41" s="1"/>
  <c r="G19" i="41"/>
  <c r="G24" i="42"/>
  <c r="F49" i="42"/>
  <c r="I49" i="42" s="1"/>
  <c r="F10" i="41"/>
  <c r="G24" i="41"/>
  <c r="F49" i="41"/>
  <c r="I49" i="41" s="1"/>
  <c r="G19" i="46"/>
  <c r="F48" i="46"/>
  <c r="G24" i="44"/>
  <c r="F49" i="44"/>
  <c r="F49" i="45"/>
  <c r="G24" i="45"/>
  <c r="G18" i="44"/>
  <c r="F47" i="44"/>
  <c r="G12" i="42"/>
  <c r="K48" i="42"/>
  <c r="G25" i="46"/>
  <c r="F50" i="46"/>
  <c r="G19" i="42"/>
  <c r="I48" i="42"/>
  <c r="G18" i="43"/>
  <c r="F47" i="43"/>
  <c r="G24" i="46"/>
  <c r="F49" i="46"/>
  <c r="F48" i="44"/>
  <c r="G19" i="44"/>
  <c r="F49" i="43"/>
  <c r="G24" i="43"/>
  <c r="G25" i="44"/>
  <c r="F50" i="44"/>
  <c r="G48" i="42"/>
  <c r="G25" i="45"/>
  <c r="F50" i="45"/>
  <c r="J48" i="42"/>
  <c r="F48" i="43"/>
  <c r="G19" i="43"/>
  <c r="F48" i="45"/>
  <c r="G19" i="45"/>
  <c r="F10" i="42"/>
  <c r="F47" i="46"/>
  <c r="G18" i="46"/>
  <c r="F50" i="43"/>
  <c r="G25" i="43"/>
  <c r="F47" i="45"/>
  <c r="G18" i="45"/>
  <c r="G12" i="41"/>
  <c r="R20" i="9"/>
  <c r="S11" i="39" s="1"/>
  <c r="Q52" i="39" s="1"/>
  <c r="S20" i="9"/>
  <c r="T11" i="39" s="1"/>
  <c r="Q56" i="39" s="1"/>
  <c r="I11" i="45"/>
  <c r="H36" i="45" s="1"/>
  <c r="H10" i="45"/>
  <c r="F51" i="45" s="1"/>
  <c r="I12" i="42"/>
  <c r="G37" i="42" s="1"/>
  <c r="Q25" i="9"/>
  <c r="M25" i="9"/>
  <c r="L25" i="9"/>
  <c r="R16" i="38"/>
  <c r="T49" i="38" s="1"/>
  <c r="M19" i="9"/>
  <c r="S10" i="30" s="1"/>
  <c r="R34" i="30" s="1"/>
  <c r="L19" i="9"/>
  <c r="R10" i="30" s="1"/>
  <c r="R23" i="36"/>
  <c r="Q42" i="36"/>
  <c r="Q11" i="30"/>
  <c r="Q15" i="30" s="1"/>
  <c r="S48" i="30" s="1"/>
  <c r="Q19" i="9"/>
  <c r="R11" i="30" s="1"/>
  <c r="R14" i="38"/>
  <c r="S49" i="38" s="1"/>
  <c r="R28" i="38"/>
  <c r="R12" i="38"/>
  <c r="R49" i="38" s="1"/>
  <c r="H11" i="43"/>
  <c r="H30" i="43" s="1"/>
  <c r="I13" i="46"/>
  <c r="H37" i="46" s="1"/>
  <c r="D18" i="35"/>
  <c r="C41" i="35"/>
  <c r="D18" i="36"/>
  <c r="C41" i="36"/>
  <c r="D30" i="30"/>
  <c r="H30" i="30" s="1"/>
  <c r="C51" i="30"/>
  <c r="F52" i="30" s="1"/>
  <c r="C51" i="19"/>
  <c r="D24" i="36"/>
  <c r="C43" i="36"/>
  <c r="D18" i="30"/>
  <c r="H18" i="30" s="1"/>
  <c r="C47" i="30"/>
  <c r="C47" i="19"/>
  <c r="D24" i="35"/>
  <c r="C43" i="35"/>
  <c r="H10" i="42"/>
  <c r="G30" i="42" s="1"/>
  <c r="H12" i="41"/>
  <c r="G31" i="41" s="1"/>
  <c r="Q17" i="36"/>
  <c r="T42" i="36" s="1"/>
  <c r="Q15" i="36"/>
  <c r="S42" i="36" s="1"/>
  <c r="Q13" i="36"/>
  <c r="R42" i="36" s="1"/>
  <c r="P17" i="36"/>
  <c r="P15" i="36"/>
  <c r="P13" i="36"/>
  <c r="K49" i="42"/>
  <c r="J49" i="42"/>
  <c r="H49" i="42"/>
  <c r="G49" i="42"/>
  <c r="P16" i="39"/>
  <c r="P14" i="39"/>
  <c r="P12" i="39"/>
  <c r="Q14" i="39"/>
  <c r="S47" i="39" s="1"/>
  <c r="Q16" i="39"/>
  <c r="T47" i="39" s="1"/>
  <c r="Q12" i="39"/>
  <c r="R47" i="39" s="1"/>
  <c r="R17" i="39"/>
  <c r="T50" i="39" s="1"/>
  <c r="R15" i="39"/>
  <c r="S50" i="39" s="1"/>
  <c r="R13" i="39"/>
  <c r="R50" i="39" s="1"/>
  <c r="Q13" i="39"/>
  <c r="R48" i="39" s="1"/>
  <c r="Q17" i="39"/>
  <c r="T48" i="39" s="1"/>
  <c r="Q15" i="39"/>
  <c r="S48" i="39" s="1"/>
  <c r="P13" i="38"/>
  <c r="P15" i="38"/>
  <c r="P17" i="38"/>
  <c r="R22" i="38"/>
  <c r="Q16" i="38"/>
  <c r="T47" i="38" s="1"/>
  <c r="Q12" i="38"/>
  <c r="R47" i="38" s="1"/>
  <c r="Q14" i="38"/>
  <c r="S47" i="38" s="1"/>
  <c r="T17" i="38"/>
  <c r="T56" i="38" s="1"/>
  <c r="T13" i="38"/>
  <c r="R56" i="38" s="1"/>
  <c r="T15" i="38"/>
  <c r="S56" i="38" s="1"/>
  <c r="R23" i="38"/>
  <c r="Q13" i="38"/>
  <c r="R48" i="38" s="1"/>
  <c r="Q15" i="38"/>
  <c r="S48" i="38" s="1"/>
  <c r="Q17" i="38"/>
  <c r="T48" i="38" s="1"/>
  <c r="P16" i="38"/>
  <c r="P12" i="38"/>
  <c r="P14" i="38"/>
  <c r="K49" i="30"/>
  <c r="J49" i="30"/>
  <c r="I49" i="30"/>
  <c r="H49" i="30"/>
  <c r="G49" i="30"/>
  <c r="I10" i="46"/>
  <c r="H12" i="45"/>
  <c r="F52" i="45" s="1"/>
  <c r="D30" i="19"/>
  <c r="M5" i="9"/>
  <c r="I13" i="43"/>
  <c r="H37" i="43" s="1"/>
  <c r="I10" i="45"/>
  <c r="H12" i="46"/>
  <c r="I13" i="42"/>
  <c r="H37" i="42" s="1"/>
  <c r="H12" i="44"/>
  <c r="G31" i="44" s="1"/>
  <c r="I13" i="44"/>
  <c r="H37" i="44" s="1"/>
  <c r="H11" i="44"/>
  <c r="H30" i="44" s="1"/>
  <c r="H13" i="41"/>
  <c r="H31" i="41" s="1"/>
  <c r="I10" i="44"/>
  <c r="G36" i="44" s="1"/>
  <c r="H13" i="43"/>
  <c r="H31" i="43" s="1"/>
  <c r="I12" i="45"/>
  <c r="I12" i="43"/>
  <c r="I11" i="44"/>
  <c r="H36" i="44" s="1"/>
  <c r="H13" i="46"/>
  <c r="H31" i="46" s="1"/>
  <c r="I11" i="46"/>
  <c r="H36" i="46" s="1"/>
  <c r="H10" i="41"/>
  <c r="H11" i="41"/>
  <c r="H30" i="41" s="1"/>
  <c r="I13" i="45"/>
  <c r="H37" i="45" s="1"/>
  <c r="H11" i="45"/>
  <c r="H30" i="45" s="1"/>
  <c r="H10" i="43"/>
  <c r="H13" i="45"/>
  <c r="H31" i="45" s="1"/>
  <c r="I12" i="46"/>
  <c r="H10" i="46"/>
  <c r="I10" i="42"/>
  <c r="I13" i="41"/>
  <c r="H37" i="41" s="1"/>
  <c r="H12" i="42"/>
  <c r="I11" i="42"/>
  <c r="H36" i="42" s="1"/>
  <c r="H13" i="44"/>
  <c r="H31" i="44" s="1"/>
  <c r="I12" i="41"/>
  <c r="H10" i="44"/>
  <c r="G30" i="44" s="1"/>
  <c r="I12" i="44"/>
  <c r="G37" i="44" s="1"/>
  <c r="I10" i="43"/>
  <c r="G36" i="43" s="1"/>
  <c r="H12" i="43"/>
  <c r="I11" i="41"/>
  <c r="H36" i="41" s="1"/>
  <c r="I11" i="43"/>
  <c r="H36" i="43" s="1"/>
  <c r="H13" i="42"/>
  <c r="H31" i="42" s="1"/>
  <c r="H11" i="42"/>
  <c r="H30" i="42" s="1"/>
  <c r="I10" i="41"/>
  <c r="D36" i="19"/>
  <c r="C18" i="8"/>
  <c r="N20" i="9"/>
  <c r="T10" i="39" s="1"/>
  <c r="Q55" i="39" s="1"/>
  <c r="M20" i="9"/>
  <c r="S10" i="39" s="1"/>
  <c r="Q51" i="39" s="1"/>
  <c r="R10" i="39"/>
  <c r="Q49" i="39" s="1"/>
  <c r="R25" i="9"/>
  <c r="N19" i="9"/>
  <c r="T10" i="30" s="1"/>
  <c r="Q10" i="30"/>
  <c r="R19" i="9"/>
  <c r="S11" i="30" s="1"/>
  <c r="S19" i="9"/>
  <c r="T11" i="30" s="1"/>
  <c r="R22" i="39"/>
  <c r="N5" i="9"/>
  <c r="R11" i="38"/>
  <c r="Q50" i="38" s="1"/>
  <c r="N26" i="9"/>
  <c r="S10" i="36" s="1"/>
  <c r="S11" i="38"/>
  <c r="Q52" i="38" s="1"/>
  <c r="Q10" i="36"/>
  <c r="G24" i="30"/>
  <c r="M27" i="9"/>
  <c r="Q10" i="35" s="1"/>
  <c r="Q24" i="35" s="1"/>
  <c r="S25" i="9"/>
  <c r="R23" i="39"/>
  <c r="S10" i="38"/>
  <c r="Q51" i="38" s="1"/>
  <c r="T10" i="38"/>
  <c r="Q55" i="38" s="1"/>
  <c r="N27" i="9"/>
  <c r="R10" i="35" s="1"/>
  <c r="Q30" i="35" s="1"/>
  <c r="P10" i="35"/>
  <c r="Q18" i="35" s="1"/>
  <c r="D18" i="19"/>
  <c r="C18" i="14"/>
  <c r="C24" i="14"/>
  <c r="C24" i="8"/>
  <c r="R11" i="36"/>
  <c r="S11" i="36"/>
  <c r="R10" i="36"/>
  <c r="Q11" i="35"/>
  <c r="Q25" i="35" s="1"/>
  <c r="R11" i="35"/>
  <c r="Q31" i="35" s="1"/>
  <c r="G11" i="30"/>
  <c r="H24" i="30" s="1"/>
  <c r="F10" i="30"/>
  <c r="F13" i="30"/>
  <c r="G13" i="30"/>
  <c r="H25" i="30" s="1"/>
  <c r="I13" i="30"/>
  <c r="H37" i="30" s="1"/>
  <c r="I12" i="30"/>
  <c r="F56" i="30" s="1"/>
  <c r="I11" i="30"/>
  <c r="H36" i="30" s="1"/>
  <c r="H10" i="30"/>
  <c r="I10" i="30"/>
  <c r="F55" i="30" s="1"/>
  <c r="F12" i="30"/>
  <c r="G12" i="30"/>
  <c r="R5" i="9"/>
  <c r="S5" i="9"/>
  <c r="H4" i="26"/>
  <c r="H7" i="26"/>
  <c r="I7" i="26" s="1"/>
  <c r="H6" i="26"/>
  <c r="I6" i="26" s="1"/>
  <c r="H5" i="26"/>
  <c r="I5" i="26" s="1"/>
  <c r="H9" i="26"/>
  <c r="I9" i="26" s="1"/>
  <c r="H8" i="26"/>
  <c r="I8" i="26" s="1"/>
  <c r="F23" i="26"/>
  <c r="G17" i="26"/>
  <c r="K23" i="26"/>
  <c r="I4" i="26"/>
  <c r="H49" i="41" l="1"/>
  <c r="G48" i="41"/>
  <c r="J49" i="41"/>
  <c r="K49" i="41"/>
  <c r="F47" i="41"/>
  <c r="G18" i="41"/>
  <c r="G49" i="41"/>
  <c r="K48" i="41"/>
  <c r="H48" i="41"/>
  <c r="I48" i="41"/>
  <c r="I49" i="45"/>
  <c r="J49" i="45"/>
  <c r="H49" i="45"/>
  <c r="G49" i="45"/>
  <c r="K49" i="45"/>
  <c r="K47" i="46"/>
  <c r="G47" i="46"/>
  <c r="H47" i="46"/>
  <c r="I47" i="46"/>
  <c r="J47" i="46"/>
  <c r="I50" i="45"/>
  <c r="J50" i="45"/>
  <c r="K50" i="45"/>
  <c r="G50" i="45"/>
  <c r="H50" i="45"/>
  <c r="G48" i="44"/>
  <c r="I48" i="44"/>
  <c r="H48" i="44"/>
  <c r="K48" i="44"/>
  <c r="J48" i="44"/>
  <c r="K50" i="46"/>
  <c r="J50" i="46"/>
  <c r="I50" i="46"/>
  <c r="H50" i="46"/>
  <c r="G50" i="46"/>
  <c r="H49" i="44"/>
  <c r="G49" i="44"/>
  <c r="I49" i="44"/>
  <c r="K49" i="44"/>
  <c r="J49" i="44"/>
  <c r="F47" i="42"/>
  <c r="G18" i="42"/>
  <c r="F50" i="41"/>
  <c r="G25" i="41"/>
  <c r="H48" i="46"/>
  <c r="I48" i="46"/>
  <c r="K48" i="46"/>
  <c r="G48" i="46"/>
  <c r="J48" i="46"/>
  <c r="J49" i="43"/>
  <c r="G49" i="43"/>
  <c r="H49" i="43"/>
  <c r="K49" i="43"/>
  <c r="I49" i="43"/>
  <c r="G48" i="45"/>
  <c r="H48" i="45"/>
  <c r="K48" i="45"/>
  <c r="I48" i="45"/>
  <c r="J48" i="45"/>
  <c r="G50" i="44"/>
  <c r="I50" i="44"/>
  <c r="J50" i="44"/>
  <c r="H50" i="44"/>
  <c r="K50" i="44"/>
  <c r="J47" i="43"/>
  <c r="I47" i="43"/>
  <c r="H47" i="43"/>
  <c r="G47" i="43"/>
  <c r="K47" i="43"/>
  <c r="F50" i="42"/>
  <c r="G25" i="42"/>
  <c r="K49" i="46"/>
  <c r="I49" i="46"/>
  <c r="J49" i="46"/>
  <c r="H49" i="46"/>
  <c r="G49" i="46"/>
  <c r="G47" i="45"/>
  <c r="H47" i="45"/>
  <c r="K47" i="45"/>
  <c r="I47" i="45"/>
  <c r="J47" i="45"/>
  <c r="I47" i="44"/>
  <c r="G47" i="44"/>
  <c r="H47" i="44"/>
  <c r="J47" i="44"/>
  <c r="K47" i="44"/>
  <c r="J50" i="43"/>
  <c r="I50" i="43"/>
  <c r="G50" i="43"/>
  <c r="H50" i="43"/>
  <c r="K50" i="43"/>
  <c r="H48" i="43"/>
  <c r="K48" i="43"/>
  <c r="J48" i="43"/>
  <c r="I48" i="43"/>
  <c r="G48" i="43"/>
  <c r="S13" i="39"/>
  <c r="R52" i="39" s="1"/>
  <c r="S15" i="39"/>
  <c r="S52" i="39" s="1"/>
  <c r="S17" i="39"/>
  <c r="T52" i="39" s="1"/>
  <c r="T15" i="39"/>
  <c r="S56" i="39" s="1"/>
  <c r="T17" i="39"/>
  <c r="T56" i="39" s="1"/>
  <c r="T13" i="39"/>
  <c r="R56" i="39" s="1"/>
  <c r="F56" i="42"/>
  <c r="H56" i="42" s="1"/>
  <c r="G30" i="45"/>
  <c r="Q51" i="30"/>
  <c r="S16" i="30"/>
  <c r="T51" i="30" s="1"/>
  <c r="S12" i="30"/>
  <c r="R51" i="30" s="1"/>
  <c r="S14" i="30"/>
  <c r="S51" i="30" s="1"/>
  <c r="Q48" i="30"/>
  <c r="R23" i="30"/>
  <c r="Q13" i="30"/>
  <c r="R48" i="30" s="1"/>
  <c r="Q17" i="30"/>
  <c r="T48" i="30" s="1"/>
  <c r="Q48" i="36"/>
  <c r="R35" i="36"/>
  <c r="Q44" i="36"/>
  <c r="R29" i="36"/>
  <c r="F55" i="45"/>
  <c r="G36" i="45"/>
  <c r="G30" i="46"/>
  <c r="F51" i="46"/>
  <c r="G37" i="46"/>
  <c r="F56" i="46"/>
  <c r="G36" i="46"/>
  <c r="F55" i="46"/>
  <c r="F56" i="45"/>
  <c r="G37" i="45"/>
  <c r="G31" i="46"/>
  <c r="F52" i="46"/>
  <c r="Q47" i="36"/>
  <c r="R34" i="36"/>
  <c r="R28" i="36"/>
  <c r="Q43" i="36"/>
  <c r="R22" i="36"/>
  <c r="Q41" i="36"/>
  <c r="R22" i="30"/>
  <c r="Q14" i="30"/>
  <c r="S47" i="30" s="1"/>
  <c r="Q16" i="30"/>
  <c r="T47" i="30" s="1"/>
  <c r="Q12" i="30"/>
  <c r="R47" i="30" s="1"/>
  <c r="Q47" i="30"/>
  <c r="H55" i="30"/>
  <c r="G55" i="30"/>
  <c r="K55" i="30"/>
  <c r="J55" i="30"/>
  <c r="I55" i="30"/>
  <c r="H56" i="30"/>
  <c r="K56" i="30"/>
  <c r="G56" i="30"/>
  <c r="J56" i="30"/>
  <c r="I56" i="30"/>
  <c r="H31" i="30"/>
  <c r="G31" i="30"/>
  <c r="I52" i="30"/>
  <c r="G52" i="30"/>
  <c r="J52" i="30"/>
  <c r="H52" i="30"/>
  <c r="K52" i="30"/>
  <c r="T13" i="30"/>
  <c r="R56" i="30" s="1"/>
  <c r="T17" i="30"/>
  <c r="T56" i="30" s="1"/>
  <c r="Q56" i="30"/>
  <c r="T15" i="30"/>
  <c r="S56" i="30" s="1"/>
  <c r="R12" i="30"/>
  <c r="R49" i="30" s="1"/>
  <c r="R14" i="30"/>
  <c r="S49" i="30" s="1"/>
  <c r="R16" i="30"/>
  <c r="T49" i="30" s="1"/>
  <c r="Q49" i="30"/>
  <c r="S15" i="30"/>
  <c r="S52" i="30" s="1"/>
  <c r="S13" i="30"/>
  <c r="R52" i="30" s="1"/>
  <c r="S17" i="30"/>
  <c r="T52" i="30" s="1"/>
  <c r="Q52" i="30"/>
  <c r="R17" i="30"/>
  <c r="T50" i="30" s="1"/>
  <c r="R15" i="30"/>
  <c r="S50" i="30" s="1"/>
  <c r="R13" i="30"/>
  <c r="R50" i="30" s="1"/>
  <c r="Q50" i="30"/>
  <c r="T12" i="30"/>
  <c r="R55" i="30" s="1"/>
  <c r="T16" i="30"/>
  <c r="T55" i="30" s="1"/>
  <c r="Q55" i="30"/>
  <c r="T14" i="30"/>
  <c r="S55" i="30" s="1"/>
  <c r="F50" i="30"/>
  <c r="I50" i="30" s="1"/>
  <c r="G25" i="30"/>
  <c r="F51" i="42"/>
  <c r="H51" i="42" s="1"/>
  <c r="F52" i="41"/>
  <c r="H52" i="41" s="1"/>
  <c r="G31" i="43"/>
  <c r="F52" i="43"/>
  <c r="G37" i="43"/>
  <c r="F56" i="43"/>
  <c r="G37" i="41"/>
  <c r="F56" i="41"/>
  <c r="F55" i="43"/>
  <c r="G30" i="41"/>
  <c r="F51" i="41"/>
  <c r="G36" i="41"/>
  <c r="F55" i="41"/>
  <c r="G30" i="43"/>
  <c r="F51" i="43"/>
  <c r="R17" i="36"/>
  <c r="T44" i="36" s="1"/>
  <c r="R15" i="36"/>
  <c r="S44" i="36" s="1"/>
  <c r="R13" i="36"/>
  <c r="R44" i="36" s="1"/>
  <c r="Q12" i="36"/>
  <c r="R41" i="36" s="1"/>
  <c r="Q16" i="36"/>
  <c r="T41" i="36" s="1"/>
  <c r="Q14" i="36"/>
  <c r="S41" i="36" s="1"/>
  <c r="R16" i="36"/>
  <c r="T43" i="36" s="1"/>
  <c r="R14" i="36"/>
  <c r="S43" i="36" s="1"/>
  <c r="R12" i="36"/>
  <c r="R43" i="36" s="1"/>
  <c r="S17" i="36"/>
  <c r="T48" i="36" s="1"/>
  <c r="S15" i="36"/>
  <c r="S48" i="36" s="1"/>
  <c r="S13" i="36"/>
  <c r="R48" i="36" s="1"/>
  <c r="S14" i="36"/>
  <c r="S47" i="36" s="1"/>
  <c r="S16" i="36"/>
  <c r="T47" i="36" s="1"/>
  <c r="S12" i="36"/>
  <c r="R47" i="36" s="1"/>
  <c r="K51" i="45"/>
  <c r="J51" i="45"/>
  <c r="G51" i="45"/>
  <c r="H51" i="45"/>
  <c r="I51" i="45"/>
  <c r="G31" i="45"/>
  <c r="F51" i="44"/>
  <c r="F52" i="44"/>
  <c r="F55" i="44"/>
  <c r="F56" i="44"/>
  <c r="G31" i="42"/>
  <c r="F52" i="42"/>
  <c r="G36" i="42"/>
  <c r="F55" i="42"/>
  <c r="R28" i="39"/>
  <c r="R14" i="39"/>
  <c r="S49" i="39" s="1"/>
  <c r="R12" i="39"/>
  <c r="R49" i="39" s="1"/>
  <c r="R16" i="39"/>
  <c r="T49" i="39" s="1"/>
  <c r="R34" i="39"/>
  <c r="S14" i="39"/>
  <c r="S51" i="39" s="1"/>
  <c r="S12" i="39"/>
  <c r="R51" i="39" s="1"/>
  <c r="S16" i="39"/>
  <c r="T51" i="39" s="1"/>
  <c r="T12" i="39"/>
  <c r="R55" i="39" s="1"/>
  <c r="T16" i="39"/>
  <c r="T55" i="39" s="1"/>
  <c r="T14" i="39"/>
  <c r="S55" i="39" s="1"/>
  <c r="R29" i="38"/>
  <c r="R13" i="38"/>
  <c r="R50" i="38" s="1"/>
  <c r="R17" i="38"/>
  <c r="T50" i="38" s="1"/>
  <c r="R15" i="38"/>
  <c r="S50" i="38" s="1"/>
  <c r="T14" i="38"/>
  <c r="S55" i="38" s="1"/>
  <c r="T16" i="38"/>
  <c r="T55" i="38" s="1"/>
  <c r="T12" i="38"/>
  <c r="R55" i="38" s="1"/>
  <c r="R35" i="38"/>
  <c r="S17" i="38"/>
  <c r="T52" i="38" s="1"/>
  <c r="S13" i="38"/>
  <c r="R52" i="38" s="1"/>
  <c r="S15" i="38"/>
  <c r="S52" i="38" s="1"/>
  <c r="R34" i="38"/>
  <c r="S14" i="38"/>
  <c r="S51" i="38" s="1"/>
  <c r="S16" i="38"/>
  <c r="T51" i="38" s="1"/>
  <c r="S12" i="38"/>
  <c r="R51" i="38" s="1"/>
  <c r="F48" i="30"/>
  <c r="G36" i="30"/>
  <c r="G18" i="30"/>
  <c r="F47" i="30"/>
  <c r="G30" i="30"/>
  <c r="F51" i="30"/>
  <c r="G37" i="30"/>
  <c r="R35" i="30"/>
  <c r="R35" i="39"/>
  <c r="R29" i="30"/>
  <c r="R29" i="39"/>
  <c r="R41" i="39"/>
  <c r="R41" i="30"/>
  <c r="R40" i="30"/>
  <c r="R40" i="39"/>
  <c r="R28" i="30"/>
  <c r="H19" i="30"/>
  <c r="G19" i="30"/>
  <c r="B13" i="7"/>
  <c r="B27" i="7"/>
  <c r="B28" i="7"/>
  <c r="B14" i="7"/>
  <c r="B26" i="7"/>
  <c r="L18" i="26"/>
  <c r="L21" i="26"/>
  <c r="L22" i="26"/>
  <c r="L19" i="26"/>
  <c r="L20" i="26"/>
  <c r="H10" i="26"/>
  <c r="L17" i="26"/>
  <c r="G23" i="26"/>
  <c r="H17" i="26" s="1"/>
  <c r="J8" i="26"/>
  <c r="J6" i="26"/>
  <c r="J4" i="26"/>
  <c r="J9" i="26"/>
  <c r="J7" i="26"/>
  <c r="J5" i="26"/>
  <c r="I10" i="26"/>
  <c r="M11" i="14"/>
  <c r="M25" i="14" s="1"/>
  <c r="M10" i="14"/>
  <c r="M24" i="14" s="1"/>
  <c r="M11" i="8"/>
  <c r="M25" i="8" s="1"/>
  <c r="M10" i="8"/>
  <c r="M24" i="8" s="1"/>
  <c r="N11" i="14"/>
  <c r="M31" i="14" s="1"/>
  <c r="N10" i="14"/>
  <c r="M30" i="14" s="1"/>
  <c r="N11" i="8"/>
  <c r="M31" i="8" s="1"/>
  <c r="N10" i="8"/>
  <c r="M30" i="8" s="1"/>
  <c r="T11" i="19"/>
  <c r="Q56" i="19" s="1"/>
  <c r="T10" i="19"/>
  <c r="Q55" i="19" s="1"/>
  <c r="J47" i="41" l="1"/>
  <c r="K47" i="41"/>
  <c r="H47" i="41"/>
  <c r="G47" i="41"/>
  <c r="I47" i="41"/>
  <c r="K47" i="42"/>
  <c r="J47" i="42"/>
  <c r="H47" i="42"/>
  <c r="G47" i="42"/>
  <c r="I47" i="42"/>
  <c r="K50" i="42"/>
  <c r="G50" i="42"/>
  <c r="I50" i="42"/>
  <c r="H50" i="42"/>
  <c r="J50" i="42"/>
  <c r="G50" i="41"/>
  <c r="K50" i="41"/>
  <c r="J50" i="41"/>
  <c r="I50" i="41"/>
  <c r="H50" i="41"/>
  <c r="J56" i="42"/>
  <c r="G56" i="42"/>
  <c r="K56" i="42"/>
  <c r="I56" i="42"/>
  <c r="I56" i="44"/>
  <c r="H56" i="44"/>
  <c r="G56" i="44"/>
  <c r="K56" i="44"/>
  <c r="J56" i="44"/>
  <c r="I55" i="44"/>
  <c r="K55" i="44"/>
  <c r="G55" i="44"/>
  <c r="H55" i="44"/>
  <c r="J55" i="44"/>
  <c r="H55" i="46"/>
  <c r="K55" i="46"/>
  <c r="G55" i="46"/>
  <c r="J55" i="46"/>
  <c r="I55" i="46"/>
  <c r="H55" i="42"/>
  <c r="J55" i="42"/>
  <c r="I55" i="42"/>
  <c r="K55" i="42"/>
  <c r="G55" i="42"/>
  <c r="H56" i="46"/>
  <c r="K56" i="46"/>
  <c r="G56" i="46"/>
  <c r="J56" i="46"/>
  <c r="I56" i="46"/>
  <c r="J56" i="45"/>
  <c r="I56" i="45"/>
  <c r="H56" i="45"/>
  <c r="K56" i="45"/>
  <c r="G56" i="45"/>
  <c r="I55" i="43"/>
  <c r="H55" i="43"/>
  <c r="K55" i="43"/>
  <c r="G55" i="43"/>
  <c r="J55" i="43"/>
  <c r="J56" i="41"/>
  <c r="I56" i="41"/>
  <c r="H56" i="41"/>
  <c r="K56" i="41"/>
  <c r="G56" i="41"/>
  <c r="K55" i="45"/>
  <c r="G55" i="45"/>
  <c r="J55" i="45"/>
  <c r="I55" i="45"/>
  <c r="H55" i="45"/>
  <c r="K55" i="41"/>
  <c r="G55" i="41"/>
  <c r="J55" i="41"/>
  <c r="I55" i="41"/>
  <c r="H55" i="41"/>
  <c r="H56" i="43"/>
  <c r="K56" i="43"/>
  <c r="G56" i="43"/>
  <c r="J56" i="43"/>
  <c r="I56" i="43"/>
  <c r="J50" i="30"/>
  <c r="H50" i="30"/>
  <c r="K50" i="30"/>
  <c r="G50" i="30"/>
  <c r="I51" i="42"/>
  <c r="G51" i="42"/>
  <c r="J51" i="42"/>
  <c r="K51" i="42"/>
  <c r="K52" i="41"/>
  <c r="G52" i="41"/>
  <c r="I52" i="41"/>
  <c r="J52" i="41"/>
  <c r="H52" i="43"/>
  <c r="J52" i="43"/>
  <c r="I52" i="43"/>
  <c r="K52" i="43"/>
  <c r="G52" i="43"/>
  <c r="K51" i="43"/>
  <c r="I51" i="43"/>
  <c r="J51" i="43"/>
  <c r="G51" i="43"/>
  <c r="H51" i="43"/>
  <c r="G51" i="41"/>
  <c r="H51" i="41"/>
  <c r="K51" i="41"/>
  <c r="J51" i="41"/>
  <c r="I51" i="41"/>
  <c r="J51" i="46"/>
  <c r="K51" i="46"/>
  <c r="G51" i="46"/>
  <c r="H51" i="46"/>
  <c r="I51" i="46"/>
  <c r="G52" i="46"/>
  <c r="I52" i="46"/>
  <c r="H52" i="46"/>
  <c r="J52" i="46"/>
  <c r="K52" i="46"/>
  <c r="G52" i="45"/>
  <c r="J52" i="45"/>
  <c r="I52" i="45"/>
  <c r="H52" i="45"/>
  <c r="K52" i="45"/>
  <c r="H52" i="44"/>
  <c r="J52" i="44"/>
  <c r="G52" i="44"/>
  <c r="K52" i="44"/>
  <c r="I52" i="44"/>
  <c r="K51" i="44"/>
  <c r="J51" i="44"/>
  <c r="H51" i="44"/>
  <c r="I51" i="44"/>
  <c r="G51" i="44"/>
  <c r="J52" i="42"/>
  <c r="H52" i="42"/>
  <c r="K52" i="42"/>
  <c r="G52" i="42"/>
  <c r="I52" i="42"/>
  <c r="I48" i="30"/>
  <c r="J48" i="30"/>
  <c r="K48" i="30"/>
  <c r="G48" i="30"/>
  <c r="H48" i="30"/>
  <c r="G51" i="30"/>
  <c r="K51" i="30"/>
  <c r="J51" i="30"/>
  <c r="I51" i="30"/>
  <c r="H51" i="30"/>
  <c r="K47" i="30"/>
  <c r="J47" i="30"/>
  <c r="I47" i="30"/>
  <c r="H47" i="30"/>
  <c r="G47" i="30"/>
  <c r="T16" i="19"/>
  <c r="T55" i="19" s="1"/>
  <c r="T14" i="19"/>
  <c r="S55" i="19" s="1"/>
  <c r="T12" i="19"/>
  <c r="R55" i="19" s="1"/>
  <c r="T15" i="19"/>
  <c r="S56" i="19" s="1"/>
  <c r="T13" i="19"/>
  <c r="R56" i="19" s="1"/>
  <c r="T17" i="19"/>
  <c r="T56" i="19" s="1"/>
  <c r="C13" i="7"/>
  <c r="C27" i="7"/>
  <c r="C26" i="7"/>
  <c r="C12" i="7"/>
  <c r="I12" i="7" s="1"/>
  <c r="Q12" i="7" s="1"/>
  <c r="C28" i="7"/>
  <c r="I28" i="7" s="1"/>
  <c r="C14" i="7"/>
  <c r="I14" i="7" s="1"/>
  <c r="L23" i="26"/>
  <c r="H22" i="26"/>
  <c r="M22" i="26" s="1"/>
  <c r="N22" i="26" s="1"/>
  <c r="H21" i="26"/>
  <c r="M21" i="26" s="1"/>
  <c r="N21" i="26" s="1"/>
  <c r="H18" i="26"/>
  <c r="M18" i="26" s="1"/>
  <c r="N18" i="26" s="1"/>
  <c r="H20" i="26"/>
  <c r="M20" i="26" s="1"/>
  <c r="N20" i="26" s="1"/>
  <c r="H19" i="26"/>
  <c r="M19" i="26" s="1"/>
  <c r="N19" i="26" s="1"/>
  <c r="R41" i="19"/>
  <c r="R40" i="19"/>
  <c r="S11" i="19"/>
  <c r="Q52" i="19" s="1"/>
  <c r="S10" i="19"/>
  <c r="Q51" i="19" s="1"/>
  <c r="R11" i="19"/>
  <c r="Q50" i="19" s="1"/>
  <c r="R10" i="19"/>
  <c r="Q49" i="19" s="1"/>
  <c r="Q11" i="19"/>
  <c r="Q48" i="19" s="1"/>
  <c r="Q10" i="19"/>
  <c r="P11" i="19"/>
  <c r="P10" i="19"/>
  <c r="I13" i="19"/>
  <c r="H37" i="19" s="1"/>
  <c r="H13" i="19"/>
  <c r="H31" i="19" s="1"/>
  <c r="G13" i="19"/>
  <c r="H25" i="19" s="1"/>
  <c r="F13" i="19"/>
  <c r="H19" i="19" s="1"/>
  <c r="E13" i="19"/>
  <c r="I12" i="19"/>
  <c r="H12" i="19"/>
  <c r="G12" i="19"/>
  <c r="F12" i="19"/>
  <c r="E12" i="19"/>
  <c r="I11" i="19"/>
  <c r="H36" i="19" s="1"/>
  <c r="H11" i="19"/>
  <c r="H30" i="19" s="1"/>
  <c r="G11" i="19"/>
  <c r="H24" i="19" s="1"/>
  <c r="F11" i="19"/>
  <c r="H18" i="19" s="1"/>
  <c r="E11" i="19"/>
  <c r="I10" i="19"/>
  <c r="F55" i="19" s="1"/>
  <c r="H10" i="19"/>
  <c r="F10" i="19"/>
  <c r="E10" i="19"/>
  <c r="K55" i="19" l="1"/>
  <c r="G55" i="19"/>
  <c r="J55" i="19"/>
  <c r="I55" i="19"/>
  <c r="H55" i="19"/>
  <c r="F50" i="19"/>
  <c r="G50" i="19" s="1"/>
  <c r="G25" i="19"/>
  <c r="P16" i="19"/>
  <c r="P14" i="19"/>
  <c r="P12" i="19"/>
  <c r="P15" i="19"/>
  <c r="P13" i="19"/>
  <c r="P17" i="19"/>
  <c r="R28" i="19"/>
  <c r="R16" i="19"/>
  <c r="T49" i="19" s="1"/>
  <c r="R14" i="19"/>
  <c r="S49" i="19" s="1"/>
  <c r="R12" i="19"/>
  <c r="R49" i="19" s="1"/>
  <c r="Q14" i="19"/>
  <c r="S47" i="19" s="1"/>
  <c r="Q12" i="19"/>
  <c r="R47" i="19" s="1"/>
  <c r="Q16" i="19"/>
  <c r="T47" i="19" s="1"/>
  <c r="R29" i="19"/>
  <c r="R13" i="19"/>
  <c r="R50" i="19" s="1"/>
  <c r="R17" i="19"/>
  <c r="T50" i="19" s="1"/>
  <c r="R15" i="19"/>
  <c r="S50" i="19" s="1"/>
  <c r="R34" i="19"/>
  <c r="S16" i="19"/>
  <c r="T51" i="19" s="1"/>
  <c r="S14" i="19"/>
  <c r="S51" i="19" s="1"/>
  <c r="S12" i="19"/>
  <c r="R51" i="19" s="1"/>
  <c r="R23" i="19"/>
  <c r="Q17" i="19"/>
  <c r="T48" i="19" s="1"/>
  <c r="Q13" i="19"/>
  <c r="R48" i="19" s="1"/>
  <c r="Q15" i="19"/>
  <c r="S48" i="19" s="1"/>
  <c r="R35" i="19"/>
  <c r="S13" i="19"/>
  <c r="R52" i="19" s="1"/>
  <c r="S17" i="19"/>
  <c r="T52" i="19" s="1"/>
  <c r="S15" i="19"/>
  <c r="S52" i="19" s="1"/>
  <c r="G18" i="19"/>
  <c r="F47" i="19"/>
  <c r="G19" i="19"/>
  <c r="F48" i="19"/>
  <c r="R22" i="19"/>
  <c r="Q47" i="19"/>
  <c r="F49" i="19"/>
  <c r="G36" i="19"/>
  <c r="G37" i="19"/>
  <c r="F56" i="19"/>
  <c r="G30" i="19"/>
  <c r="F51" i="19"/>
  <c r="G31" i="19"/>
  <c r="F52" i="19"/>
  <c r="C44" i="7"/>
  <c r="C58" i="7"/>
  <c r="C43" i="7"/>
  <c r="C57" i="7"/>
  <c r="C42" i="7"/>
  <c r="C56" i="7"/>
  <c r="B58" i="7"/>
  <c r="B44" i="7"/>
  <c r="J14" i="7"/>
  <c r="R14" i="7" s="1"/>
  <c r="B57" i="7"/>
  <c r="B43" i="7"/>
  <c r="B56" i="7"/>
  <c r="B42" i="7"/>
  <c r="J28" i="7"/>
  <c r="N28" i="7" s="1"/>
  <c r="Q14" i="7"/>
  <c r="K14" i="7"/>
  <c r="E10" i="14" s="1"/>
  <c r="F18" i="14" s="1"/>
  <c r="M14" i="7"/>
  <c r="O14" i="7"/>
  <c r="I26" i="7"/>
  <c r="J26" i="7"/>
  <c r="J12" i="7"/>
  <c r="Q28" i="7"/>
  <c r="O28" i="7"/>
  <c r="M28" i="7"/>
  <c r="K28" i="7"/>
  <c r="E11" i="14" s="1"/>
  <c r="G18" i="14" s="1"/>
  <c r="I27" i="7"/>
  <c r="O27" i="7" s="1"/>
  <c r="J27" i="7"/>
  <c r="P27" i="7" s="1"/>
  <c r="J13" i="7"/>
  <c r="P13" i="7" s="1"/>
  <c r="I13" i="7"/>
  <c r="O13" i="7" s="1"/>
  <c r="H23" i="26"/>
  <c r="I42" i="7" l="1"/>
  <c r="J44" i="7"/>
  <c r="E12" i="35" s="1"/>
  <c r="I56" i="7"/>
  <c r="J56" i="19"/>
  <c r="I56" i="19"/>
  <c r="H56" i="19"/>
  <c r="K56" i="19"/>
  <c r="G56" i="19"/>
  <c r="J50" i="19"/>
  <c r="I50" i="19"/>
  <c r="K50" i="19"/>
  <c r="H50" i="19"/>
  <c r="K49" i="19"/>
  <c r="H49" i="19"/>
  <c r="G49" i="19"/>
  <c r="I49" i="19"/>
  <c r="J49" i="19"/>
  <c r="G51" i="19"/>
  <c r="J51" i="19"/>
  <c r="I51" i="19"/>
  <c r="H51" i="19"/>
  <c r="K51" i="19"/>
  <c r="H47" i="19"/>
  <c r="J47" i="19"/>
  <c r="G47" i="19"/>
  <c r="I47" i="19"/>
  <c r="K47" i="19"/>
  <c r="H52" i="19"/>
  <c r="G52" i="19"/>
  <c r="K52" i="19"/>
  <c r="J52" i="19"/>
  <c r="I52" i="19"/>
  <c r="H48" i="19"/>
  <c r="I48" i="19"/>
  <c r="K48" i="19"/>
  <c r="J48" i="19"/>
  <c r="G48" i="19"/>
  <c r="N14" i="7"/>
  <c r="P14" i="7"/>
  <c r="F12" i="14" s="1"/>
  <c r="F25" i="14" s="1"/>
  <c r="I44" i="7"/>
  <c r="E10" i="35" s="1"/>
  <c r="I58" i="7"/>
  <c r="E11" i="35" s="1"/>
  <c r="J58" i="7"/>
  <c r="E13" i="35" s="1"/>
  <c r="J43" i="7"/>
  <c r="I43" i="7"/>
  <c r="J42" i="7"/>
  <c r="J57" i="7"/>
  <c r="I57" i="7"/>
  <c r="L14" i="7"/>
  <c r="E12" i="14" s="1"/>
  <c r="F19" i="14" s="1"/>
  <c r="J56" i="7"/>
  <c r="R28" i="7"/>
  <c r="G13" i="14" s="1"/>
  <c r="L28" i="7"/>
  <c r="E13" i="14" s="1"/>
  <c r="G19" i="14" s="1"/>
  <c r="P28" i="7"/>
  <c r="F13" i="14" s="1"/>
  <c r="G25" i="14" s="1"/>
  <c r="O26" i="7"/>
  <c r="Q26" i="7"/>
  <c r="M26" i="7"/>
  <c r="K26" i="7"/>
  <c r="L13" i="7"/>
  <c r="E12" i="8" s="1"/>
  <c r="F19" i="8" s="1"/>
  <c r="N13" i="7"/>
  <c r="R13" i="7"/>
  <c r="N26" i="7"/>
  <c r="P26" i="7"/>
  <c r="L26" i="7"/>
  <c r="R26" i="7"/>
  <c r="N27" i="7"/>
  <c r="R27" i="7"/>
  <c r="L27" i="7"/>
  <c r="E13" i="8" s="1"/>
  <c r="G19" i="8" s="1"/>
  <c r="K12" i="7"/>
  <c r="O12" i="7"/>
  <c r="M12" i="7"/>
  <c r="Q13" i="7"/>
  <c r="K13" i="7"/>
  <c r="E10" i="8" s="1"/>
  <c r="F18" i="8" s="1"/>
  <c r="M13" i="7"/>
  <c r="M27" i="7"/>
  <c r="Q27" i="7"/>
  <c r="K27" i="7"/>
  <c r="E11" i="8" s="1"/>
  <c r="G18" i="8" s="1"/>
  <c r="N12" i="7"/>
  <c r="L12" i="7"/>
  <c r="R12" i="7"/>
  <c r="P12" i="7"/>
  <c r="D13" i="14"/>
  <c r="G12" i="14"/>
  <c r="D12" i="14"/>
  <c r="L11" i="14"/>
  <c r="M19" i="14" s="1"/>
  <c r="K11" i="14"/>
  <c r="G11" i="14"/>
  <c r="F11" i="14"/>
  <c r="G24" i="14" s="1"/>
  <c r="D11" i="14"/>
  <c r="L10" i="14"/>
  <c r="M18" i="14" s="1"/>
  <c r="K10" i="14"/>
  <c r="G10" i="14"/>
  <c r="F10" i="14"/>
  <c r="F24" i="14" s="1"/>
  <c r="D10" i="14"/>
  <c r="N44" i="7" l="1"/>
  <c r="L44" i="7"/>
  <c r="R44" i="7"/>
  <c r="M44" i="7"/>
  <c r="E13" i="36"/>
  <c r="P57" i="7"/>
  <c r="E11" i="36"/>
  <c r="O57" i="7"/>
  <c r="P44" i="7"/>
  <c r="E10" i="36"/>
  <c r="O43" i="7"/>
  <c r="E12" i="36"/>
  <c r="P43" i="7"/>
  <c r="O44" i="7"/>
  <c r="K44" i="7"/>
  <c r="Q44" i="7"/>
  <c r="G12" i="38"/>
  <c r="G10" i="38"/>
  <c r="I11" i="38"/>
  <c r="H36" i="38" s="1"/>
  <c r="I10" i="38"/>
  <c r="I13" i="38"/>
  <c r="H37" i="38" s="1"/>
  <c r="H11" i="38"/>
  <c r="H30" i="38" s="1"/>
  <c r="H10" i="38"/>
  <c r="F13" i="38"/>
  <c r="G11" i="38"/>
  <c r="H24" i="38" s="1"/>
  <c r="F10" i="38"/>
  <c r="H13" i="38"/>
  <c r="H31" i="38" s="1"/>
  <c r="I12" i="38"/>
  <c r="F12" i="38"/>
  <c r="F48" i="38" s="1"/>
  <c r="G13" i="38"/>
  <c r="H25" i="38" s="1"/>
  <c r="H12" i="38"/>
  <c r="F11" i="38"/>
  <c r="H18" i="38" s="1"/>
  <c r="M57" i="7"/>
  <c r="K57" i="7"/>
  <c r="Q57" i="7"/>
  <c r="L57" i="7"/>
  <c r="N57" i="7"/>
  <c r="R57" i="7"/>
  <c r="O42" i="7"/>
  <c r="H10" i="39" s="1"/>
  <c r="M42" i="7"/>
  <c r="G10" i="39" s="1"/>
  <c r="K42" i="7"/>
  <c r="F10" i="39" s="1"/>
  <c r="Q42" i="7"/>
  <c r="I10" i="39" s="1"/>
  <c r="F55" i="39" s="1"/>
  <c r="P42" i="7"/>
  <c r="H12" i="39" s="1"/>
  <c r="N42" i="7"/>
  <c r="G12" i="39" s="1"/>
  <c r="L42" i="7"/>
  <c r="F12" i="39" s="1"/>
  <c r="F48" i="39" s="1"/>
  <c r="R42" i="7"/>
  <c r="I12" i="39" s="1"/>
  <c r="M43" i="7"/>
  <c r="Q43" i="7"/>
  <c r="K43" i="7"/>
  <c r="L43" i="7"/>
  <c r="N43" i="7"/>
  <c r="R43" i="7"/>
  <c r="O56" i="7"/>
  <c r="H11" i="39" s="1"/>
  <c r="H30" i="39" s="1"/>
  <c r="M56" i="7"/>
  <c r="G11" i="39" s="1"/>
  <c r="H24" i="39" s="1"/>
  <c r="K56" i="7"/>
  <c r="F11" i="39" s="1"/>
  <c r="H18" i="39" s="1"/>
  <c r="Q56" i="7"/>
  <c r="I11" i="39" s="1"/>
  <c r="H36" i="39" s="1"/>
  <c r="L58" i="7"/>
  <c r="N58" i="7"/>
  <c r="R58" i="7"/>
  <c r="P58" i="7"/>
  <c r="P56" i="7"/>
  <c r="H13" i="39" s="1"/>
  <c r="H31" i="39" s="1"/>
  <c r="N56" i="7"/>
  <c r="G13" i="39" s="1"/>
  <c r="H25" i="39" s="1"/>
  <c r="L56" i="7"/>
  <c r="F13" i="39" s="1"/>
  <c r="R56" i="7"/>
  <c r="I13" i="39" s="1"/>
  <c r="H37" i="39" s="1"/>
  <c r="M58" i="7"/>
  <c r="O58" i="7"/>
  <c r="Q58" i="7"/>
  <c r="K58" i="7"/>
  <c r="K55" i="39" l="1"/>
  <c r="I55" i="39"/>
  <c r="J55" i="39"/>
  <c r="G55" i="39"/>
  <c r="H55" i="39"/>
  <c r="F50" i="39"/>
  <c r="J50" i="39" s="1"/>
  <c r="G25" i="39"/>
  <c r="F50" i="38"/>
  <c r="J50" i="38" s="1"/>
  <c r="G25" i="38"/>
  <c r="G31" i="39"/>
  <c r="F52" i="39"/>
  <c r="G36" i="39"/>
  <c r="G24" i="39"/>
  <c r="F49" i="39"/>
  <c r="G30" i="39"/>
  <c r="F51" i="39"/>
  <c r="G37" i="39"/>
  <c r="F56" i="39"/>
  <c r="J48" i="39"/>
  <c r="I48" i="39"/>
  <c r="K48" i="39"/>
  <c r="H48" i="39"/>
  <c r="G48" i="39"/>
  <c r="G18" i="39"/>
  <c r="F47" i="39"/>
  <c r="G30" i="38"/>
  <c r="F51" i="38"/>
  <c r="G24" i="38"/>
  <c r="F49" i="38"/>
  <c r="G18" i="38"/>
  <c r="F47" i="38"/>
  <c r="K48" i="38"/>
  <c r="I48" i="38"/>
  <c r="G48" i="38"/>
  <c r="J48" i="38"/>
  <c r="H48" i="38"/>
  <c r="G36" i="38"/>
  <c r="F55" i="38"/>
  <c r="G37" i="38"/>
  <c r="F56" i="38"/>
  <c r="G31" i="38"/>
  <c r="F52" i="38"/>
  <c r="H19" i="39"/>
  <c r="G19" i="39"/>
  <c r="H19" i="38"/>
  <c r="G19" i="38"/>
  <c r="H11" i="35"/>
  <c r="H11" i="36"/>
  <c r="G10" i="35"/>
  <c r="G10" i="36"/>
  <c r="G13" i="35"/>
  <c r="H25" i="35" s="1"/>
  <c r="G13" i="36"/>
  <c r="H25" i="36" s="1"/>
  <c r="F11" i="35"/>
  <c r="H18" i="35" s="1"/>
  <c r="F11" i="36"/>
  <c r="H18" i="36" s="1"/>
  <c r="F10" i="35"/>
  <c r="F10" i="36"/>
  <c r="G12" i="35"/>
  <c r="G12" i="36"/>
  <c r="H13" i="35"/>
  <c r="H13" i="36"/>
  <c r="G11" i="35"/>
  <c r="H24" i="35" s="1"/>
  <c r="G11" i="36"/>
  <c r="H24" i="36" s="1"/>
  <c r="H10" i="35"/>
  <c r="H10" i="36"/>
  <c r="H12" i="35"/>
  <c r="H12" i="36"/>
  <c r="F13" i="35"/>
  <c r="H19" i="35" s="1"/>
  <c r="F13" i="36"/>
  <c r="H19" i="36" s="1"/>
  <c r="F12" i="35"/>
  <c r="F12" i="36"/>
  <c r="G24" i="36" l="1"/>
  <c r="F43" i="36"/>
  <c r="H43" i="36" s="1"/>
  <c r="G24" i="35"/>
  <c r="F43" i="35"/>
  <c r="F41" i="35"/>
  <c r="G41" i="35" s="1"/>
  <c r="G18" i="35"/>
  <c r="F44" i="36"/>
  <c r="K44" i="36" s="1"/>
  <c r="G25" i="36"/>
  <c r="G25" i="35"/>
  <c r="F44" i="35"/>
  <c r="F41" i="36"/>
  <c r="G18" i="36"/>
  <c r="G19" i="36"/>
  <c r="F42" i="36"/>
  <c r="J42" i="36" s="1"/>
  <c r="F42" i="35"/>
  <c r="G42" i="35" s="1"/>
  <c r="G19" i="35"/>
  <c r="K56" i="39"/>
  <c r="G56" i="39"/>
  <c r="I56" i="39"/>
  <c r="J56" i="39"/>
  <c r="H56" i="39"/>
  <c r="I56" i="38"/>
  <c r="H56" i="38"/>
  <c r="K56" i="38"/>
  <c r="G56" i="38"/>
  <c r="J56" i="38"/>
  <c r="I55" i="38"/>
  <c r="H55" i="38"/>
  <c r="K55" i="38"/>
  <c r="G55" i="38"/>
  <c r="J55" i="38"/>
  <c r="K50" i="38"/>
  <c r="I50" i="39"/>
  <c r="G50" i="39"/>
  <c r="H50" i="39"/>
  <c r="K50" i="39"/>
  <c r="H50" i="38"/>
  <c r="G50" i="38"/>
  <c r="I50" i="38"/>
  <c r="J51" i="39"/>
  <c r="G51" i="39"/>
  <c r="K51" i="39"/>
  <c r="H51" i="39"/>
  <c r="I51" i="39"/>
  <c r="J49" i="39"/>
  <c r="K49" i="39"/>
  <c r="G49" i="39"/>
  <c r="H49" i="39"/>
  <c r="I49" i="39"/>
  <c r="K52" i="39"/>
  <c r="I52" i="39"/>
  <c r="J52" i="39"/>
  <c r="H52" i="39"/>
  <c r="G52" i="39"/>
  <c r="J47" i="39"/>
  <c r="I47" i="39"/>
  <c r="H47" i="39"/>
  <c r="G47" i="39"/>
  <c r="K47" i="39"/>
  <c r="K49" i="38"/>
  <c r="J49" i="38"/>
  <c r="H49" i="38"/>
  <c r="G49" i="38"/>
  <c r="I49" i="38"/>
  <c r="I52" i="38"/>
  <c r="H52" i="38"/>
  <c r="J52" i="38"/>
  <c r="G52" i="38"/>
  <c r="K52" i="38"/>
  <c r="G51" i="38"/>
  <c r="I51" i="38"/>
  <c r="H51" i="38"/>
  <c r="K51" i="38"/>
  <c r="J51" i="38"/>
  <c r="H47" i="38"/>
  <c r="I47" i="38"/>
  <c r="G47" i="38"/>
  <c r="J47" i="38"/>
  <c r="K47" i="38"/>
  <c r="I42" i="35" l="1"/>
  <c r="J42" i="35"/>
  <c r="K42" i="35"/>
  <c r="H42" i="35"/>
  <c r="H42" i="36"/>
  <c r="I42" i="36"/>
  <c r="J44" i="36"/>
  <c r="H44" i="36"/>
  <c r="J43" i="36"/>
  <c r="G44" i="36"/>
  <c r="K43" i="36"/>
  <c r="G43" i="36"/>
  <c r="I44" i="36"/>
  <c r="K42" i="36"/>
  <c r="G42" i="36"/>
  <c r="I43" i="36"/>
  <c r="K41" i="35"/>
  <c r="J41" i="35"/>
  <c r="H41" i="35"/>
  <c r="I41" i="35"/>
  <c r="K44" i="35"/>
  <c r="G44" i="35"/>
  <c r="J44" i="35"/>
  <c r="I44" i="35"/>
  <c r="H44" i="35"/>
  <c r="G43" i="35"/>
  <c r="J43" i="35"/>
  <c r="H43" i="35"/>
  <c r="I43" i="35"/>
  <c r="K43" i="35"/>
  <c r="G41" i="36"/>
  <c r="H41" i="36"/>
  <c r="K41" i="36"/>
  <c r="J41" i="36"/>
  <c r="I41" i="36"/>
  <c r="L11" i="8" l="1"/>
  <c r="M19" i="8" s="1"/>
  <c r="K11" i="8"/>
  <c r="L10" i="8"/>
  <c r="M18" i="8" s="1"/>
  <c r="K10" i="8"/>
  <c r="G13" i="8"/>
  <c r="F13" i="8"/>
  <c r="G25" i="8" s="1"/>
  <c r="D13" i="8"/>
  <c r="G11" i="8"/>
  <c r="F11" i="8"/>
  <c r="G24" i="8" s="1"/>
  <c r="D11" i="8"/>
  <c r="G12" i="8"/>
  <c r="F12" i="8"/>
  <c r="F25" i="8" s="1"/>
  <c r="D12" i="8"/>
  <c r="G10" i="8"/>
  <c r="F10" i="8"/>
  <c r="F24" i="8" s="1"/>
  <c r="D10" i="8"/>
  <c r="C47" i="35" l="1"/>
  <c r="F47" i="35" s="1"/>
  <c r="D30" i="35"/>
  <c r="G31" i="35" s="1"/>
  <c r="C30" i="14"/>
  <c r="F30" i="14" s="1"/>
  <c r="K47" i="35" l="1"/>
  <c r="H47" i="35"/>
  <c r="I47" i="35"/>
  <c r="G47" i="35"/>
  <c r="J47" i="35"/>
  <c r="F48" i="35"/>
  <c r="H31" i="35"/>
  <c r="G30" i="14"/>
  <c r="H30" i="35"/>
  <c r="G30" i="35"/>
  <c r="F31" i="14"/>
  <c r="G31" i="14"/>
  <c r="K48" i="35" l="1"/>
  <c r="I48" i="35"/>
  <c r="J48" i="35"/>
  <c r="G48" i="35"/>
  <c r="H48" i="35"/>
  <c r="C47" i="36"/>
  <c r="F47" i="36" s="1"/>
  <c r="D30" i="36"/>
  <c r="H30" i="36" s="1"/>
  <c r="C30" i="8"/>
  <c r="F31" i="8" s="1"/>
  <c r="F48" i="36" l="1"/>
  <c r="K48" i="36" s="1"/>
  <c r="G31" i="36"/>
  <c r="J47" i="36"/>
  <c r="G47" i="36"/>
  <c r="I47" i="36"/>
  <c r="K47" i="36"/>
  <c r="H47" i="36"/>
  <c r="F30" i="8"/>
  <c r="G31" i="8"/>
  <c r="G30" i="8"/>
  <c r="G30" i="36"/>
  <c r="H31" i="36"/>
  <c r="G48" i="36" l="1"/>
  <c r="H48" i="36"/>
  <c r="J48" i="36"/>
  <c r="I48" i="36"/>
</calcChain>
</file>

<file path=xl/sharedStrings.xml><?xml version="1.0" encoding="utf-8"?>
<sst xmlns="http://schemas.openxmlformats.org/spreadsheetml/2006/main" count="4536" uniqueCount="518">
  <si>
    <t>1,2-Dichloroethane (1,2-DCA)</t>
  </si>
  <si>
    <t>1,1-Dichloroethane (1,1-DCA)</t>
  </si>
  <si>
    <t>Trichloroethylene (TCE)</t>
  </si>
  <si>
    <t>Perchloroethylene (PCE)</t>
  </si>
  <si>
    <t>Methylene Chloride (MC)</t>
  </si>
  <si>
    <t>Carbon Tetrachloride (CTC)</t>
  </si>
  <si>
    <t>Health Data</t>
  </si>
  <si>
    <t>n/a</t>
  </si>
  <si>
    <t>Tabs</t>
  </si>
  <si>
    <t>Description</t>
  </si>
  <si>
    <t>"Chemical_product" tabs</t>
  </si>
  <si>
    <t>"Chemical_max" tabs</t>
  </si>
  <si>
    <t>This tab represents exposure to a concentrated stream of byproducts (see Inhalation Exposures tab for the assumed chemical concentrations). These tabs contain the same information as described in the cell above ("chemical_product" tabs)</t>
  </si>
  <si>
    <t>"1,1-DCA_test order_" tabs</t>
  </si>
  <si>
    <t>Inhalation Exposures</t>
  </si>
  <si>
    <t>Dermal Exposures</t>
  </si>
  <si>
    <t xml:space="preserve">This tab compiles the health data for each byproduct. </t>
  </si>
  <si>
    <t>Byproduct Conc_Inhalation</t>
  </si>
  <si>
    <t>Byproduct Conc_Dermal</t>
  </si>
  <si>
    <t>This tab compiles the max wt% of each byproduct from the light or heavy liquid waste streams in addition to the wt% from the non-purified product stream.</t>
  </si>
  <si>
    <t>Mfg_1,2-DCA Test Order Data</t>
  </si>
  <si>
    <t xml:space="preserve">Methodologies </t>
  </si>
  <si>
    <t>Chemical</t>
  </si>
  <si>
    <t>Exposure Level</t>
  </si>
  <si>
    <t>Cancer</t>
  </si>
  <si>
    <t>-</t>
  </si>
  <si>
    <t>1,1-Dichloroethane</t>
  </si>
  <si>
    <t>Central Tendency</t>
  </si>
  <si>
    <t>ONU</t>
  </si>
  <si>
    <t>Dermal</t>
  </si>
  <si>
    <t>Worker</t>
  </si>
  <si>
    <t>APF = 10,000</t>
  </si>
  <si>
    <t>APF = 50</t>
  </si>
  <si>
    <t>PF = 5</t>
  </si>
  <si>
    <t>APF = 10</t>
  </si>
  <si>
    <t>APF = 25</t>
  </si>
  <si>
    <t>Equations and Calculations Used for Risk Calculator</t>
  </si>
  <si>
    <t>Exposure Type</t>
  </si>
  <si>
    <t>Equation</t>
  </si>
  <si>
    <t>Equation Parameters</t>
  </si>
  <si>
    <r>
      <t>Inhalation Exposure Calculations</t>
    </r>
    <r>
      <rPr>
        <b/>
        <vertAlign val="superscript"/>
        <sz val="10"/>
        <color theme="1"/>
        <rFont val="Calibri"/>
        <family val="2"/>
        <scheme val="minor"/>
      </rPr>
      <t>a</t>
    </r>
  </si>
  <si>
    <t>Acute Concentration (AC) (ppm)</t>
  </si>
  <si>
    <t>8-hr TWA Concentration x ED / AT_AC</t>
  </si>
  <si>
    <t>- ED = 8 hr/day
- AT_AC = 24 hr/day</t>
  </si>
  <si>
    <t>Intermediate Average Daily Concentration (ADC)(ppm)</t>
  </si>
  <si>
    <t>8-hr TWA concentration x ED x EF_ST/AT_ADC_ST</t>
  </si>
  <si>
    <t>- ED = 8 hr/day
- EF_ST = The exposure days in the numerator will typically be 22 days/yr when the total exposure days/yr is &gt;22 days/yr or equal to the total exposure days/yr if the total is &lt;22 days/yr. This maximizes the number of exposure days in the intermediate timeframe, accounting for days off.  However, we may adjust this approach if we have specific information about the OES. For example, if we know that facilities operate using a single, week-long campaign, once per month (i.e., 7 days/month x 12 months). In this case, we would use 7 days for the intermediate exposure days.
- AT_ADC_ST= 720 hr (i.e. 30 days x 24 hr/day)</t>
  </si>
  <si>
    <r>
      <t>Chronic Average Daily Concentration (ADC</t>
    </r>
    <r>
      <rPr>
        <vertAlign val="subscript"/>
        <sz val="10"/>
        <color theme="1"/>
        <rFont val="Calibri"/>
        <family val="2"/>
        <scheme val="minor"/>
      </rPr>
      <t>intermediate</t>
    </r>
    <r>
      <rPr>
        <sz val="10"/>
        <color theme="1"/>
        <rFont val="Calibri"/>
        <family val="2"/>
        <scheme val="minor"/>
      </rPr>
      <t>)(ppm)</t>
    </r>
  </si>
  <si>
    <t>8-hr TWA concentration x ED x EF x WY/AT_ADC</t>
  </si>
  <si>
    <t>- ED = 8 hr/day
- EF = 250 days (assumed maximum number of working days for a single worker per year)
- WY = 31 (central tendency) to 40 yr (high-end)
- AT_ADC = 271,560 (central tendency) to 350,400 hr (high-end) (i.e. WY x 365 days/yr x 24 hr/day)</t>
  </si>
  <si>
    <t>Lifetime Average Daily Concentration (LADC)(ppm)</t>
  </si>
  <si>
    <t>8-hr TWA concentration x ED x EF x WY/AT_LADC</t>
  </si>
  <si>
    <t>- ED = 8 hr/day
- EF = 250 days 
- WY = 31 (central tendency) to 40 yr (high-end)
- AT_LADC = 683,280 hr (i.e. 78 yr x 365 days/yr x 24 hr/day)</t>
  </si>
  <si>
    <t>a - Inhalation metrics (AC, intermediate ADC, chronic ADC, LADC) will all be multiplied by a breathing rate ratio of 1.25/0.6125 except when the hazard value is from an occupational epidemiological study.</t>
  </si>
  <si>
    <t>Non-Cancer Inhalation Exposure Risk Calculations</t>
  </si>
  <si>
    <t>Human Equivalent Concentration (HEC) (ppm)</t>
  </si>
  <si>
    <t>see Health Data tab</t>
  </si>
  <si>
    <t>Benchmark Margin of Exposure (MOE) (unitless)</t>
  </si>
  <si>
    <t>Acute MOE (unitless)</t>
  </si>
  <si>
    <t>HEC / AC</t>
  </si>
  <si>
    <t>The calculated MOE is then compared with the Benchmark MOE; if the calculated MOE is less than the benchmark MOE then there is risk.</t>
  </si>
  <si>
    <t>Chronic, Non-Cancer MOE (unitless)</t>
  </si>
  <si>
    <t>HEC / ADC</t>
  </si>
  <si>
    <t>Cancer Inhalation Exposure Risk Calculations</t>
  </si>
  <si>
    <r>
      <t>Inhalation Unit Risk (ppm</t>
    </r>
    <r>
      <rPr>
        <vertAlign val="superscript"/>
        <sz val="10"/>
        <color theme="1"/>
        <rFont val="Calibri"/>
        <family val="2"/>
        <scheme val="minor"/>
      </rPr>
      <t>-1</t>
    </r>
    <r>
      <rPr>
        <sz val="10"/>
        <color theme="1"/>
        <rFont val="Calibri"/>
        <family val="2"/>
        <scheme val="minor"/>
      </rPr>
      <t>)</t>
    </r>
  </si>
  <si>
    <t>Cancer risk (unitless)</t>
  </si>
  <si>
    <t>IUR x LADC</t>
  </si>
  <si>
    <t xml:space="preserve">Cancer risk in a population (i.e., 1 in XXX). This value is then compared with the cancer risk benchmarks of 10-4 (1-in-1,000) </t>
  </si>
  <si>
    <t>SA x Qu x Fabs x Yderm x FT</t>
  </si>
  <si>
    <r>
      <t>- SA = Surface area of dermal exposure (535 cm</t>
    </r>
    <r>
      <rPr>
        <vertAlign val="superscript"/>
        <sz val="10"/>
        <color theme="1"/>
        <rFont val="Calibri"/>
        <family val="2"/>
        <scheme val="minor"/>
      </rPr>
      <t xml:space="preserve">2 </t>
    </r>
    <r>
      <rPr>
        <sz val="10"/>
        <color theme="1"/>
        <rFont val="Calibri"/>
        <family val="2"/>
        <scheme val="minor"/>
      </rPr>
      <t>for 1-hand and 1,070 cm</t>
    </r>
    <r>
      <rPr>
        <vertAlign val="superscript"/>
        <sz val="10"/>
        <color theme="1"/>
        <rFont val="Calibri"/>
        <family val="2"/>
        <scheme val="minor"/>
      </rPr>
      <t>2</t>
    </r>
    <r>
      <rPr>
        <sz val="10"/>
        <color theme="1"/>
        <rFont val="Calibri"/>
        <family val="2"/>
        <scheme val="minor"/>
      </rPr>
      <t xml:space="preserve"> for 2-hand exposure)
- Qu = Quantity remaining on Skin: 1.4 (central tendency) to 2.1 (high end) mg/cm</t>
    </r>
    <r>
      <rPr>
        <vertAlign val="superscript"/>
        <sz val="10"/>
        <color theme="1"/>
        <rFont val="Calibri"/>
        <family val="2"/>
        <scheme val="minor"/>
      </rPr>
      <t>2</t>
    </r>
    <r>
      <rPr>
        <sz val="10"/>
        <color theme="1"/>
        <rFont val="Calibri"/>
        <family val="2"/>
        <scheme val="minor"/>
      </rPr>
      <t>-event
- Fabs = Fraction absorbed into skin: 0.003
- Yderm = Concentration of chemical of interest
- FT = Exposure frequency : 1 event/day</t>
    </r>
  </si>
  <si>
    <t>APDR / BW</t>
  </si>
  <si>
    <t>- BW = Body weight: 80 kg (average adult worker), 72.4 kg (woman of childbearing age)</t>
  </si>
  <si>
    <t>ARD x EF_ST / AT</t>
  </si>
  <si>
    <t>- EF_ST = The exposure days in the numerator will typically be 22 days/yr when the total exposure days/yr is &gt;22 days/yr or equal to the total exposure days/yr if the total is &lt;22 days/yr. This maximizes the number of exposure days in the intermediate timeframe, accounting for days off.  
- AT = 30 days</t>
  </si>
  <si>
    <t>ARD x EF x WY / AT</t>
  </si>
  <si>
    <t>- EF = 250 days
- WY = 31 (central tendency) to 40 yr (high-end)
- AT = 11,315 day (central tendency) to 14,600 day (high-end) (i.e. WY x 365 days/yr)</t>
  </si>
  <si>
    <t xml:space="preserve">- EF = 24-350 days depending on OES
- WY = 31 (central tendency) to 40 yr (high-end)
- AT = 28,470 day </t>
  </si>
  <si>
    <t>Non-Cancer Dermal Exposure Risk Calculations</t>
  </si>
  <si>
    <t>Human Equivalent Dose (HED) (ppm)</t>
  </si>
  <si>
    <t>HED / ARD</t>
  </si>
  <si>
    <t>HED / CRD</t>
  </si>
  <si>
    <r>
      <t>Dermal Cancer Slope Factor (CSF)(mg/kg-day</t>
    </r>
    <r>
      <rPr>
        <vertAlign val="superscript"/>
        <sz val="10"/>
        <color theme="1"/>
        <rFont val="Calibri"/>
        <family val="2"/>
        <scheme val="minor"/>
      </rPr>
      <t>-1</t>
    </r>
    <r>
      <rPr>
        <sz val="10"/>
        <color theme="1"/>
        <rFont val="Calibri"/>
        <family val="2"/>
        <scheme val="minor"/>
      </rPr>
      <t>)</t>
    </r>
  </si>
  <si>
    <t>CSF x CRD (Cancer)</t>
  </si>
  <si>
    <t>Inhalation</t>
  </si>
  <si>
    <t>Exposure Outputs</t>
  </si>
  <si>
    <t>Category</t>
  </si>
  <si>
    <t>Full-Shift (Eight- or Twelve-Hour) TWA Exposure</t>
  </si>
  <si>
    <t>Acute Exposures</t>
  </si>
  <si>
    <t>Intermediate Exposures</t>
  </si>
  <si>
    <t>Chronic, Non-Cancer Exposures</t>
  </si>
  <si>
    <t>Chronic, Cancer Exposures</t>
  </si>
  <si>
    <t>Acute Potential Dose Rate</t>
  </si>
  <si>
    <t>Acute Retained Dose</t>
  </si>
  <si>
    <t>Intermediate Retained Dose, Non-Cancer</t>
  </si>
  <si>
    <t>Chronic Retained Dose, Non-Cancer</t>
  </si>
  <si>
    <t>Chronic Retained Dose, Cancer</t>
  </si>
  <si>
    <r>
      <t>C</t>
    </r>
    <r>
      <rPr>
        <b/>
        <vertAlign val="subscript"/>
        <sz val="10"/>
        <color theme="1"/>
        <rFont val="Calibri"/>
        <family val="2"/>
        <scheme val="minor"/>
      </rPr>
      <t>1,2-DCA</t>
    </r>
    <r>
      <rPr>
        <b/>
        <sz val="10"/>
        <color theme="1"/>
        <rFont val="Calibri"/>
        <family val="2"/>
        <scheme val="minor"/>
      </rPr>
      <t>, 8-hr TWA (ppm)</t>
    </r>
  </si>
  <si>
    <r>
      <t>AC</t>
    </r>
    <r>
      <rPr>
        <b/>
        <vertAlign val="subscript"/>
        <sz val="10"/>
        <color theme="1"/>
        <rFont val="Calibri"/>
        <family val="2"/>
        <scheme val="minor"/>
      </rPr>
      <t>1,2-DCA</t>
    </r>
    <r>
      <rPr>
        <b/>
        <sz val="10"/>
        <color theme="1"/>
        <rFont val="Calibri"/>
        <family val="2"/>
        <scheme val="minor"/>
      </rPr>
      <t>, 8-hr TWA (ppm)</t>
    </r>
  </si>
  <si>
    <r>
      <t>ADC</t>
    </r>
    <r>
      <rPr>
        <b/>
        <vertAlign val="subscript"/>
        <sz val="10"/>
        <color theme="1"/>
        <rFont val="Calibri"/>
        <family val="2"/>
        <scheme val="minor"/>
      </rPr>
      <t>1,2-DCA</t>
    </r>
    <r>
      <rPr>
        <b/>
        <sz val="10"/>
        <color theme="1"/>
        <rFont val="Calibri"/>
        <family val="2"/>
        <scheme val="minor"/>
      </rPr>
      <t>, 8-hr TWA (ppm)</t>
    </r>
  </si>
  <si>
    <r>
      <t>LADC</t>
    </r>
    <r>
      <rPr>
        <b/>
        <vertAlign val="subscript"/>
        <sz val="10"/>
        <color theme="1"/>
        <rFont val="Calibri"/>
        <family val="2"/>
        <scheme val="minor"/>
      </rPr>
      <t>1,2-DCA</t>
    </r>
    <r>
      <rPr>
        <b/>
        <sz val="10"/>
        <color theme="1"/>
        <rFont val="Calibri"/>
        <family val="2"/>
        <scheme val="minor"/>
      </rPr>
      <t>, 8-hr TWA (ppm)</t>
    </r>
  </si>
  <si>
    <r>
      <t>APDR</t>
    </r>
    <r>
      <rPr>
        <b/>
        <vertAlign val="subscript"/>
        <sz val="10"/>
        <color theme="1"/>
        <rFont val="Calibri"/>
        <family val="2"/>
        <scheme val="minor"/>
      </rPr>
      <t xml:space="preserve">exp </t>
    </r>
    <r>
      <rPr>
        <b/>
        <sz val="10"/>
        <color theme="1"/>
        <rFont val="Calibri"/>
        <family val="2"/>
        <scheme val="minor"/>
      </rPr>
      <t>(mg/day)</t>
    </r>
  </si>
  <si>
    <r>
      <t>ARD</t>
    </r>
    <r>
      <rPr>
        <b/>
        <vertAlign val="subscript"/>
        <sz val="10"/>
        <color theme="1"/>
        <rFont val="Calibri"/>
        <family val="2"/>
        <scheme val="minor"/>
      </rPr>
      <t>1,2-DCA</t>
    </r>
    <r>
      <rPr>
        <b/>
        <sz val="10"/>
        <color theme="1"/>
        <rFont val="Calibri"/>
        <family val="2"/>
        <scheme val="minor"/>
      </rPr>
      <t xml:space="preserve"> (mg/kg-day)</t>
    </r>
  </si>
  <si>
    <r>
      <t>CRD</t>
    </r>
    <r>
      <rPr>
        <b/>
        <vertAlign val="subscript"/>
        <sz val="10"/>
        <color theme="1"/>
        <rFont val="Calibri"/>
        <family val="2"/>
        <scheme val="minor"/>
      </rPr>
      <t>1,2-DCA</t>
    </r>
    <r>
      <rPr>
        <b/>
        <sz val="10"/>
        <color theme="1"/>
        <rFont val="Calibri"/>
        <family val="2"/>
        <scheme val="minor"/>
      </rPr>
      <t xml:space="preserve"> (mg/kg-day)</t>
    </r>
  </si>
  <si>
    <t>High End</t>
  </si>
  <si>
    <t>Worker, No Gloves</t>
  </si>
  <si>
    <t>Risk Estimation for Acute, Non-Cancer Inhalation Exposures</t>
  </si>
  <si>
    <t>Health Effect, Endpoint and Study</t>
  </si>
  <si>
    <t>HEC (ppm)</t>
  </si>
  <si>
    <t>Benchmark MOE 
(= Total UF)</t>
  </si>
  <si>
    <t>Acute Exposure Estimates</t>
  </si>
  <si>
    <t>Worker MOE</t>
  </si>
  <si>
    <t>ONU MOE</t>
  </si>
  <si>
    <r>
      <rPr>
        <b/>
        <sz val="10"/>
        <color theme="1"/>
        <rFont val="Calibri"/>
        <family val="2"/>
        <scheme val="minor"/>
      </rPr>
      <t>Respiratory</t>
    </r>
    <r>
      <rPr>
        <sz val="10"/>
        <color theme="1"/>
        <rFont val="Calibri"/>
        <family val="2"/>
        <scheme val="minor"/>
      </rPr>
      <t xml:space="preserve">
Degeneration with necrosis of the olfactory mucosa; Dow Chemical, 2006</t>
    </r>
  </si>
  <si>
    <t>Risk Estimation for Acute, Non-Cancer Dermal Exposures</t>
  </si>
  <si>
    <t>Acute HED (mg/kg)</t>
  </si>
  <si>
    <t>Risk Estimation for Intermediate Inhalation Exposures</t>
  </si>
  <si>
    <t>Worker MOE, No Gloves</t>
  </si>
  <si>
    <t>Intermediate Exposure Estimates</t>
  </si>
  <si>
    <r>
      <rPr>
        <b/>
        <sz val="10"/>
        <color theme="1"/>
        <rFont val="Calibri"/>
        <family val="2"/>
        <scheme val="minor"/>
      </rPr>
      <t>Renal</t>
    </r>
    <r>
      <rPr>
        <sz val="10"/>
        <color theme="1"/>
        <rFont val="Calibri"/>
        <family val="2"/>
        <scheme val="minor"/>
      </rPr>
      <t xml:space="preserve">
Increased relative kidney weight; Storer et al., 1984</t>
    </r>
  </si>
  <si>
    <t xml:space="preserve">Decrease in sperm concentration; Zhang et al. 2017 </t>
  </si>
  <si>
    <t>Risk Estimation for Intermediate Dermal Exposures</t>
  </si>
  <si>
    <t>HED (mg/kg)</t>
  </si>
  <si>
    <t>Risk Estimation for Chronic, Non-Cancer Inhalation Exposures</t>
  </si>
  <si>
    <t>Chronic Exposure Estimates</t>
  </si>
  <si>
    <r>
      <rPr>
        <b/>
        <sz val="10"/>
        <color theme="1"/>
        <rFont val="Calibri"/>
        <family val="2"/>
        <scheme val="minor"/>
      </rPr>
      <t>Renal</t>
    </r>
    <r>
      <rPr>
        <sz val="10"/>
        <color theme="1"/>
        <rFont val="Calibri"/>
        <family val="2"/>
        <scheme val="minor"/>
      </rPr>
      <t xml:space="preserve">
Increased relative kidney weight; NTP, 1991</t>
    </r>
  </si>
  <si>
    <t>Risk Estimation for Chronic, Non-Cancer Dermal Exposures</t>
  </si>
  <si>
    <t>Cancer Risks</t>
  </si>
  <si>
    <t>Risk Estimate</t>
  </si>
  <si>
    <r>
      <t>IUR (ppm</t>
    </r>
    <r>
      <rPr>
        <b/>
        <vertAlign val="superscript"/>
        <sz val="10"/>
        <color theme="1"/>
        <rFont val="Calibri"/>
        <family val="2"/>
        <scheme val="minor"/>
      </rPr>
      <t>-1</t>
    </r>
    <r>
      <rPr>
        <b/>
        <sz val="10"/>
        <color theme="1"/>
        <rFont val="Calibri"/>
        <family val="2"/>
        <scheme val="minor"/>
      </rPr>
      <t>)</t>
    </r>
  </si>
  <si>
    <t>Benchmark</t>
  </si>
  <si>
    <t>Chronic Cancer Exposure Estimates</t>
  </si>
  <si>
    <t xml:space="preserve">Worker </t>
  </si>
  <si>
    <r>
      <rPr>
        <b/>
        <sz val="10"/>
        <color theme="1"/>
        <rFont val="Calibri"/>
        <family val="2"/>
        <scheme val="minor"/>
      </rPr>
      <t>Cancer</t>
    </r>
    <r>
      <rPr>
        <sz val="10"/>
        <color theme="1"/>
        <rFont val="Calibri"/>
        <family val="2"/>
        <scheme val="minor"/>
      </rPr>
      <t xml:space="preserve">
Result of combined cancer modeling; Nagano et al., 2006</t>
    </r>
  </si>
  <si>
    <r>
      <t>OSP 
(mg/kg</t>
    </r>
    <r>
      <rPr>
        <b/>
        <vertAlign val="superscript"/>
        <sz val="10"/>
        <color theme="1"/>
        <rFont val="Calibri"/>
        <family val="2"/>
        <scheme val="minor"/>
      </rPr>
      <t>-1</t>
    </r>
    <r>
      <rPr>
        <b/>
        <sz val="10"/>
        <color theme="1"/>
        <rFont val="Calibri"/>
        <family val="2"/>
        <scheme val="minor"/>
      </rPr>
      <t>)</t>
    </r>
  </si>
  <si>
    <t>Risk Reduction for Inhalation Exposures</t>
  </si>
  <si>
    <t>No Gloves</t>
  </si>
  <si>
    <t>Exposure Type (select)</t>
  </si>
  <si>
    <t>Risk Reduction for Dermal Exposures</t>
  </si>
  <si>
    <t>Risk Type</t>
  </si>
  <si>
    <t>No Respirator</t>
  </si>
  <si>
    <t>APF = 1,000</t>
  </si>
  <si>
    <t>PF = 10</t>
  </si>
  <si>
    <t>PF = 20</t>
  </si>
  <si>
    <t>Acute, Non-Cancer</t>
  </si>
  <si>
    <t>Intermediate</t>
  </si>
  <si>
    <t>Chronic, Non-Cancer</t>
  </si>
  <si>
    <r>
      <t>IUR (ppm)</t>
    </r>
    <r>
      <rPr>
        <b/>
        <vertAlign val="superscript"/>
        <sz val="10"/>
        <rFont val="Calibri"/>
        <family val="2"/>
        <scheme val="minor"/>
      </rPr>
      <t>-1</t>
    </r>
  </si>
  <si>
    <r>
      <t>CSF (mg/kg-d)</t>
    </r>
    <r>
      <rPr>
        <b/>
        <vertAlign val="superscript"/>
        <sz val="10"/>
        <rFont val="Calibri"/>
        <family val="2"/>
        <scheme val="minor"/>
      </rPr>
      <t>-1</t>
    </r>
  </si>
  <si>
    <t>Chronic, Cancer</t>
  </si>
  <si>
    <t xml:space="preserve">Decrease in sperm concentration; Zhang et al., 2017 </t>
  </si>
  <si>
    <r>
      <t>C</t>
    </r>
    <r>
      <rPr>
        <b/>
        <vertAlign val="subscript"/>
        <sz val="10"/>
        <color theme="1"/>
        <rFont val="Calibri"/>
        <family val="2"/>
        <scheme val="minor"/>
      </rPr>
      <t>1,1-DCA</t>
    </r>
    <r>
      <rPr>
        <b/>
        <sz val="10"/>
        <color theme="1"/>
        <rFont val="Calibri"/>
        <family val="2"/>
        <scheme val="minor"/>
      </rPr>
      <t>, 8-hr TWA (ppm)</t>
    </r>
  </si>
  <si>
    <r>
      <t>AC</t>
    </r>
    <r>
      <rPr>
        <b/>
        <vertAlign val="subscript"/>
        <sz val="10"/>
        <color theme="1"/>
        <rFont val="Calibri"/>
        <family val="2"/>
        <scheme val="minor"/>
      </rPr>
      <t>1,1-DCA</t>
    </r>
    <r>
      <rPr>
        <b/>
        <sz val="10"/>
        <color theme="1"/>
        <rFont val="Calibri"/>
        <family val="2"/>
        <scheme val="minor"/>
      </rPr>
      <t>, 8-hr TWA (ppm)</t>
    </r>
  </si>
  <si>
    <r>
      <t>ADC</t>
    </r>
    <r>
      <rPr>
        <b/>
        <vertAlign val="subscript"/>
        <sz val="10"/>
        <color theme="1"/>
        <rFont val="Calibri"/>
        <family val="2"/>
        <scheme val="minor"/>
      </rPr>
      <t>1,1-DCA</t>
    </r>
    <r>
      <rPr>
        <b/>
        <sz val="10"/>
        <color theme="1"/>
        <rFont val="Calibri"/>
        <family val="2"/>
        <scheme val="minor"/>
      </rPr>
      <t>, 8-hr TWA (ppm)</t>
    </r>
  </si>
  <si>
    <r>
      <t>LADC</t>
    </r>
    <r>
      <rPr>
        <b/>
        <vertAlign val="subscript"/>
        <sz val="10"/>
        <color theme="1"/>
        <rFont val="Calibri"/>
        <family val="2"/>
        <scheme val="minor"/>
      </rPr>
      <t>1,1-DCA</t>
    </r>
    <r>
      <rPr>
        <b/>
        <sz val="10"/>
        <color theme="1"/>
        <rFont val="Calibri"/>
        <family val="2"/>
        <scheme val="minor"/>
      </rPr>
      <t>, 8-hr TWA (ppm)</t>
    </r>
  </si>
  <si>
    <r>
      <t>ARD</t>
    </r>
    <r>
      <rPr>
        <b/>
        <vertAlign val="subscript"/>
        <sz val="10"/>
        <color theme="1"/>
        <rFont val="Calibri"/>
        <family val="2"/>
        <scheme val="minor"/>
      </rPr>
      <t>1,1-DCA</t>
    </r>
    <r>
      <rPr>
        <b/>
        <sz val="10"/>
        <color theme="1"/>
        <rFont val="Calibri"/>
        <family val="2"/>
        <scheme val="minor"/>
      </rPr>
      <t xml:space="preserve"> (mg/kg-day)</t>
    </r>
  </si>
  <si>
    <r>
      <t>CRD</t>
    </r>
    <r>
      <rPr>
        <b/>
        <vertAlign val="subscript"/>
        <sz val="10"/>
        <color theme="1"/>
        <rFont val="Calibri"/>
        <family val="2"/>
        <scheme val="minor"/>
      </rPr>
      <t>1,1-DCA</t>
    </r>
    <r>
      <rPr>
        <b/>
        <sz val="10"/>
        <color theme="1"/>
        <rFont val="Calibri"/>
        <family val="2"/>
        <scheme val="minor"/>
      </rPr>
      <t xml:space="preserve"> (mg/kg-day)</t>
    </r>
  </si>
  <si>
    <t>N/A</t>
  </si>
  <si>
    <t>Note that no risk reduction table for dermal is included because no risk was found</t>
  </si>
  <si>
    <r>
      <t>C</t>
    </r>
    <r>
      <rPr>
        <b/>
        <vertAlign val="subscript"/>
        <sz val="10"/>
        <color theme="1"/>
        <rFont val="Calibri"/>
        <family val="2"/>
        <scheme val="minor"/>
      </rPr>
      <t>TCE</t>
    </r>
    <r>
      <rPr>
        <b/>
        <sz val="10"/>
        <color theme="1"/>
        <rFont val="Calibri"/>
        <family val="2"/>
        <scheme val="minor"/>
      </rPr>
      <t>, 8-hr TWA (ppm)</t>
    </r>
  </si>
  <si>
    <r>
      <t>AC</t>
    </r>
    <r>
      <rPr>
        <b/>
        <vertAlign val="subscript"/>
        <sz val="10"/>
        <color theme="1"/>
        <rFont val="Calibri"/>
        <family val="2"/>
        <scheme val="minor"/>
      </rPr>
      <t>TCE</t>
    </r>
    <r>
      <rPr>
        <b/>
        <sz val="10"/>
        <color theme="1"/>
        <rFont val="Calibri"/>
        <family val="2"/>
        <scheme val="minor"/>
      </rPr>
      <t>, 8-hr TWA (ppm)</t>
    </r>
  </si>
  <si>
    <r>
      <t>ADC</t>
    </r>
    <r>
      <rPr>
        <b/>
        <vertAlign val="subscript"/>
        <sz val="10"/>
        <color theme="1"/>
        <rFont val="Calibri"/>
        <family val="2"/>
        <scheme val="minor"/>
      </rPr>
      <t>TCE</t>
    </r>
    <r>
      <rPr>
        <b/>
        <sz val="10"/>
        <color theme="1"/>
        <rFont val="Calibri"/>
        <family val="2"/>
        <scheme val="minor"/>
      </rPr>
      <t>, 8-hr TWA (ppm)</t>
    </r>
  </si>
  <si>
    <r>
      <t>LADC</t>
    </r>
    <r>
      <rPr>
        <b/>
        <vertAlign val="subscript"/>
        <sz val="10"/>
        <color theme="1"/>
        <rFont val="Calibri"/>
        <family val="2"/>
        <scheme val="minor"/>
      </rPr>
      <t>TCE</t>
    </r>
    <r>
      <rPr>
        <b/>
        <sz val="10"/>
        <color theme="1"/>
        <rFont val="Calibri"/>
        <family val="2"/>
        <scheme val="minor"/>
      </rPr>
      <t>, 8-hr TWA (ppm)</t>
    </r>
  </si>
  <si>
    <r>
      <t>ARD</t>
    </r>
    <r>
      <rPr>
        <b/>
        <vertAlign val="subscript"/>
        <sz val="10"/>
        <color theme="1"/>
        <rFont val="Calibri"/>
        <family val="2"/>
        <scheme val="minor"/>
      </rPr>
      <t>TCE</t>
    </r>
    <r>
      <rPr>
        <b/>
        <sz val="10"/>
        <color theme="1"/>
        <rFont val="Calibri"/>
        <family val="2"/>
        <scheme val="minor"/>
      </rPr>
      <t xml:space="preserve"> (mg/kg-day)</t>
    </r>
  </si>
  <si>
    <r>
      <t>CRD</t>
    </r>
    <r>
      <rPr>
        <b/>
        <vertAlign val="subscript"/>
        <sz val="10"/>
        <color theme="1"/>
        <rFont val="Calibri"/>
        <family val="2"/>
        <scheme val="minor"/>
      </rPr>
      <t>TCE</t>
    </r>
    <r>
      <rPr>
        <b/>
        <sz val="10"/>
        <color theme="1"/>
        <rFont val="Calibri"/>
        <family val="2"/>
        <scheme val="minor"/>
      </rPr>
      <t xml:space="preserve"> (mg/kg-day)</t>
    </r>
  </si>
  <si>
    <t>Mortality due 
to immuno-suppression; Selgrade and Gilmour, 2010</t>
  </si>
  <si>
    <r>
      <t xml:space="preserve">Immunotoxicity
</t>
    </r>
    <r>
      <rPr>
        <sz val="10"/>
        <rFont val="Calibri"/>
        <family val="2"/>
        <scheme val="minor"/>
      </rPr>
      <t>Autoimmunity
Keil et al., 2009</t>
    </r>
  </si>
  <si>
    <r>
      <rPr>
        <b/>
        <sz val="10"/>
        <rFont val="Calibri"/>
        <family val="2"/>
        <scheme val="minor"/>
      </rPr>
      <t xml:space="preserve">Immunotoxicity
</t>
    </r>
    <r>
      <rPr>
        <sz val="10"/>
        <rFont val="Calibri"/>
        <family val="2"/>
        <scheme val="minor"/>
      </rPr>
      <t>Autoimmunity
Keil et al., 2009</t>
    </r>
  </si>
  <si>
    <r>
      <t xml:space="preserve">Cancer
</t>
    </r>
    <r>
      <rPr>
        <sz val="10"/>
        <rFont val="Calibri"/>
        <family val="2"/>
        <scheme val="minor"/>
      </rPr>
      <t>Liver, Kidney, NHL
Charbotel et al., 2006 (adjusted)</t>
    </r>
  </si>
  <si>
    <r>
      <t>C</t>
    </r>
    <r>
      <rPr>
        <b/>
        <vertAlign val="subscript"/>
        <sz val="10"/>
        <color theme="1"/>
        <rFont val="Calibri"/>
        <family val="2"/>
        <scheme val="minor"/>
      </rPr>
      <t>PCE</t>
    </r>
    <r>
      <rPr>
        <b/>
        <sz val="10"/>
        <color theme="1"/>
        <rFont val="Calibri"/>
        <family val="2"/>
        <scheme val="minor"/>
      </rPr>
      <t>, 8-hr TWA (ppm)</t>
    </r>
  </si>
  <si>
    <r>
      <t>AC</t>
    </r>
    <r>
      <rPr>
        <b/>
        <vertAlign val="subscript"/>
        <sz val="10"/>
        <color theme="1"/>
        <rFont val="Calibri"/>
        <family val="2"/>
        <scheme val="minor"/>
      </rPr>
      <t>PCE</t>
    </r>
    <r>
      <rPr>
        <b/>
        <sz val="10"/>
        <color theme="1"/>
        <rFont val="Calibri"/>
        <family val="2"/>
        <scheme val="minor"/>
      </rPr>
      <t>, 8-hr TWA (ppm)</t>
    </r>
  </si>
  <si>
    <r>
      <t>ADC</t>
    </r>
    <r>
      <rPr>
        <b/>
        <vertAlign val="subscript"/>
        <sz val="10"/>
        <color theme="1"/>
        <rFont val="Calibri"/>
        <family val="2"/>
        <scheme val="minor"/>
      </rPr>
      <t>PCE</t>
    </r>
    <r>
      <rPr>
        <b/>
        <sz val="10"/>
        <color theme="1"/>
        <rFont val="Calibri"/>
        <family val="2"/>
        <scheme val="minor"/>
      </rPr>
      <t>, 8-hr TWA (ppm)</t>
    </r>
  </si>
  <si>
    <r>
      <t>LADC</t>
    </r>
    <r>
      <rPr>
        <b/>
        <vertAlign val="subscript"/>
        <sz val="10"/>
        <color theme="1"/>
        <rFont val="Calibri"/>
        <family val="2"/>
        <scheme val="minor"/>
      </rPr>
      <t>PCE</t>
    </r>
    <r>
      <rPr>
        <b/>
        <sz val="10"/>
        <color theme="1"/>
        <rFont val="Calibri"/>
        <family val="2"/>
        <scheme val="minor"/>
      </rPr>
      <t>, 8-hr TWA (ppm)</t>
    </r>
  </si>
  <si>
    <r>
      <t>ARD</t>
    </r>
    <r>
      <rPr>
        <b/>
        <vertAlign val="subscript"/>
        <sz val="10"/>
        <color theme="1"/>
        <rFont val="Calibri"/>
        <family val="2"/>
        <scheme val="minor"/>
      </rPr>
      <t>PCE</t>
    </r>
    <r>
      <rPr>
        <b/>
        <sz val="10"/>
        <color theme="1"/>
        <rFont val="Calibri"/>
        <family val="2"/>
        <scheme val="minor"/>
      </rPr>
      <t xml:space="preserve"> (mg/kg-day)</t>
    </r>
  </si>
  <si>
    <r>
      <t>CRD</t>
    </r>
    <r>
      <rPr>
        <b/>
        <vertAlign val="subscript"/>
        <sz val="10"/>
        <color theme="1"/>
        <rFont val="Calibri"/>
        <family val="2"/>
        <scheme val="minor"/>
      </rPr>
      <t>PCE</t>
    </r>
    <r>
      <rPr>
        <b/>
        <sz val="10"/>
        <color theme="1"/>
        <rFont val="Calibri"/>
        <family val="2"/>
        <scheme val="minor"/>
      </rPr>
      <t xml:space="preserve"> (mg/kg-day)</t>
    </r>
  </si>
  <si>
    <r>
      <rPr>
        <b/>
        <sz val="10"/>
        <color theme="1"/>
        <rFont val="Calibri"/>
        <family val="2"/>
        <scheme val="minor"/>
      </rPr>
      <t>Neurotoxicity</t>
    </r>
    <r>
      <rPr>
        <sz val="10"/>
        <color theme="1"/>
        <rFont val="Calibri"/>
        <family val="2"/>
        <scheme val="minor"/>
      </rPr>
      <t xml:space="preserve">
Increased latencies for pattern reversal visual-evoked potentials
(Altmann et al., 1990)</t>
    </r>
  </si>
  <si>
    <t>Neurotoxicity
Increased latencies for pattern reversal visual-evoked potentials
(Altmann et al., 1990)</t>
  </si>
  <si>
    <r>
      <rPr>
        <b/>
        <sz val="10"/>
        <rFont val="Calibri"/>
        <family val="2"/>
        <scheme val="minor"/>
      </rPr>
      <t>Neurological (TWA)</t>
    </r>
    <r>
      <rPr>
        <sz val="10"/>
        <rFont val="Calibri"/>
        <family val="2"/>
        <scheme val="minor"/>
      </rPr>
      <t xml:space="preserve">
Midpoint of range of HECs from two key neurological studies
(EPA, 2012)</t>
    </r>
  </si>
  <si>
    <r>
      <rPr>
        <b/>
        <sz val="10"/>
        <rFont val="Calibri"/>
        <family val="2"/>
        <scheme val="minor"/>
      </rPr>
      <t>Neurological</t>
    </r>
    <r>
      <rPr>
        <sz val="10"/>
        <rFont val="Calibri"/>
        <family val="2"/>
        <scheme val="minor"/>
      </rPr>
      <t xml:space="preserve">
Midpoint of range of HECs from two key neurological studies
(EPA, 2012)</t>
    </r>
  </si>
  <si>
    <r>
      <rPr>
        <b/>
        <sz val="10"/>
        <color theme="1"/>
        <rFont val="Calibri"/>
        <family val="2"/>
        <scheme val="minor"/>
      </rPr>
      <t>Cancer</t>
    </r>
    <r>
      <rPr>
        <sz val="10"/>
        <color theme="1"/>
        <rFont val="Calibri"/>
        <family val="2"/>
        <scheme val="minor"/>
      </rPr>
      <t xml:space="preserve">
male mouse hepatocellular tumors; JISA 1993</t>
    </r>
  </si>
  <si>
    <t>Note that no risk reduction table for inhalation is included because no risk was found</t>
  </si>
  <si>
    <r>
      <t>C</t>
    </r>
    <r>
      <rPr>
        <b/>
        <vertAlign val="subscript"/>
        <sz val="10"/>
        <color theme="1"/>
        <rFont val="Calibri"/>
        <family val="2"/>
        <scheme val="minor"/>
      </rPr>
      <t>MC</t>
    </r>
    <r>
      <rPr>
        <b/>
        <sz val="10"/>
        <color theme="1"/>
        <rFont val="Calibri"/>
        <family val="2"/>
        <scheme val="minor"/>
      </rPr>
      <t>, 8-hr TWA (ppm)</t>
    </r>
  </si>
  <si>
    <r>
      <t>AC</t>
    </r>
    <r>
      <rPr>
        <b/>
        <vertAlign val="subscript"/>
        <sz val="10"/>
        <color theme="1"/>
        <rFont val="Calibri"/>
        <family val="2"/>
        <scheme val="minor"/>
      </rPr>
      <t>MC</t>
    </r>
    <r>
      <rPr>
        <b/>
        <sz val="10"/>
        <color theme="1"/>
        <rFont val="Calibri"/>
        <family val="2"/>
        <scheme val="minor"/>
      </rPr>
      <t>, 8-hr TWA (ppm)</t>
    </r>
  </si>
  <si>
    <r>
      <t>ADC</t>
    </r>
    <r>
      <rPr>
        <b/>
        <vertAlign val="subscript"/>
        <sz val="10"/>
        <color theme="1"/>
        <rFont val="Calibri"/>
        <family val="2"/>
        <scheme val="minor"/>
      </rPr>
      <t>MC</t>
    </r>
    <r>
      <rPr>
        <b/>
        <sz val="10"/>
        <color theme="1"/>
        <rFont val="Calibri"/>
        <family val="2"/>
        <scheme val="minor"/>
      </rPr>
      <t>, 8-hr TWA (ppm)</t>
    </r>
  </si>
  <si>
    <r>
      <t>LADC</t>
    </r>
    <r>
      <rPr>
        <b/>
        <vertAlign val="subscript"/>
        <sz val="10"/>
        <color theme="1"/>
        <rFont val="Calibri"/>
        <family val="2"/>
        <scheme val="minor"/>
      </rPr>
      <t>MC</t>
    </r>
    <r>
      <rPr>
        <b/>
        <sz val="10"/>
        <color theme="1"/>
        <rFont val="Calibri"/>
        <family val="2"/>
        <scheme val="minor"/>
      </rPr>
      <t>, 8-hr TWA (ppm)</t>
    </r>
  </si>
  <si>
    <r>
      <t>ARD</t>
    </r>
    <r>
      <rPr>
        <b/>
        <vertAlign val="subscript"/>
        <sz val="10"/>
        <color theme="1"/>
        <rFont val="Calibri"/>
        <family val="2"/>
        <scheme val="minor"/>
      </rPr>
      <t>MC</t>
    </r>
    <r>
      <rPr>
        <b/>
        <sz val="10"/>
        <color theme="1"/>
        <rFont val="Calibri"/>
        <family val="2"/>
        <scheme val="minor"/>
      </rPr>
      <t xml:space="preserve"> (mg/kg-day)</t>
    </r>
  </si>
  <si>
    <r>
      <t>CRD</t>
    </r>
    <r>
      <rPr>
        <b/>
        <vertAlign val="subscript"/>
        <sz val="10"/>
        <color theme="1"/>
        <rFont val="Calibri"/>
        <family val="2"/>
        <scheme val="minor"/>
      </rPr>
      <t>MC</t>
    </r>
    <r>
      <rPr>
        <b/>
        <sz val="10"/>
        <color theme="1"/>
        <rFont val="Calibri"/>
        <family val="2"/>
        <scheme val="minor"/>
      </rPr>
      <t xml:space="preserve"> (mg/kg-day)</t>
    </r>
  </si>
  <si>
    <t xml:space="preserve">Impairment of CNS 7% ↓ visual peripheral performance;
Putz et al. 1979    </t>
  </si>
  <si>
    <t>Hepatic lipid vacuolation; Nitschke et al., 1988</t>
  </si>
  <si>
    <r>
      <t xml:space="preserve">Cancer                                                                                     
</t>
    </r>
    <r>
      <rPr>
        <sz val="10"/>
        <color theme="1"/>
        <rFont val="Calibri"/>
        <family val="2"/>
        <scheme val="minor"/>
      </rPr>
      <t>Liver and lung tumors                                                      
NTP, 1986</t>
    </r>
  </si>
  <si>
    <r>
      <rPr>
        <b/>
        <sz val="10"/>
        <rFont val="Calibri"/>
        <family val="2"/>
        <scheme val="minor"/>
      </rPr>
      <t xml:space="preserve">Cancer   </t>
    </r>
    <r>
      <rPr>
        <sz val="10"/>
        <rFont val="Calibri"/>
        <family val="2"/>
        <scheme val="minor"/>
      </rPr>
      <t xml:space="preserve">                                                                                  
Liver and lung tumors                                                      
NTP, 1986</t>
    </r>
  </si>
  <si>
    <t xml:space="preserve">Impairment of CNS 7% ↓ visual peripheral performance;
Putz et al. 1979           </t>
  </si>
  <si>
    <r>
      <t xml:space="preserve">Cancer                                                                                     
</t>
    </r>
    <r>
      <rPr>
        <sz val="10"/>
        <rFont val="Calibri"/>
        <family val="2"/>
        <scheme val="minor"/>
      </rPr>
      <t>Liver and lung tumors                                                      
NTP, 1986</t>
    </r>
  </si>
  <si>
    <r>
      <t>C</t>
    </r>
    <r>
      <rPr>
        <b/>
        <vertAlign val="subscript"/>
        <sz val="10"/>
        <color theme="1"/>
        <rFont val="Calibri"/>
        <family val="2"/>
        <scheme val="minor"/>
      </rPr>
      <t>CTC</t>
    </r>
    <r>
      <rPr>
        <b/>
        <sz val="10"/>
        <color theme="1"/>
        <rFont val="Calibri"/>
        <family val="2"/>
        <scheme val="minor"/>
      </rPr>
      <t>, 8-hr TWA (ppm)</t>
    </r>
  </si>
  <si>
    <r>
      <t>AC</t>
    </r>
    <r>
      <rPr>
        <b/>
        <vertAlign val="subscript"/>
        <sz val="10"/>
        <color theme="1"/>
        <rFont val="Calibri"/>
        <family val="2"/>
        <scheme val="minor"/>
      </rPr>
      <t>CTC</t>
    </r>
    <r>
      <rPr>
        <b/>
        <sz val="10"/>
        <color theme="1"/>
        <rFont val="Calibri"/>
        <family val="2"/>
        <scheme val="minor"/>
      </rPr>
      <t>, 8-hr TWA (ppm)</t>
    </r>
  </si>
  <si>
    <r>
      <t>ADC</t>
    </r>
    <r>
      <rPr>
        <b/>
        <vertAlign val="subscript"/>
        <sz val="10"/>
        <color theme="1"/>
        <rFont val="Calibri"/>
        <family val="2"/>
        <scheme val="minor"/>
      </rPr>
      <t>CTC</t>
    </r>
    <r>
      <rPr>
        <b/>
        <sz val="10"/>
        <color theme="1"/>
        <rFont val="Calibri"/>
        <family val="2"/>
        <scheme val="minor"/>
      </rPr>
      <t>, 8-hr TWA (ppm)</t>
    </r>
  </si>
  <si>
    <r>
      <t>LADC</t>
    </r>
    <r>
      <rPr>
        <b/>
        <vertAlign val="subscript"/>
        <sz val="10"/>
        <color theme="1"/>
        <rFont val="Calibri"/>
        <family val="2"/>
        <scheme val="minor"/>
      </rPr>
      <t>CTC</t>
    </r>
    <r>
      <rPr>
        <b/>
        <sz val="10"/>
        <color theme="1"/>
        <rFont val="Calibri"/>
        <family val="2"/>
        <scheme val="minor"/>
      </rPr>
      <t>, 8-hr TWA (ppm)</t>
    </r>
  </si>
  <si>
    <r>
      <t>ARD</t>
    </r>
    <r>
      <rPr>
        <b/>
        <vertAlign val="subscript"/>
        <sz val="10"/>
        <color theme="1"/>
        <rFont val="Calibri"/>
        <family val="2"/>
        <scheme val="minor"/>
      </rPr>
      <t>CTC</t>
    </r>
    <r>
      <rPr>
        <b/>
        <sz val="10"/>
        <color theme="1"/>
        <rFont val="Calibri"/>
        <family val="2"/>
        <scheme val="minor"/>
      </rPr>
      <t xml:space="preserve"> (mg/kg-day)</t>
    </r>
  </si>
  <si>
    <r>
      <t>CRD</t>
    </r>
    <r>
      <rPr>
        <b/>
        <vertAlign val="subscript"/>
        <sz val="10"/>
        <color theme="1"/>
        <rFont val="Calibri"/>
        <family val="2"/>
        <scheme val="minor"/>
      </rPr>
      <t>CTC</t>
    </r>
    <r>
      <rPr>
        <b/>
        <sz val="10"/>
        <color theme="1"/>
        <rFont val="Calibri"/>
        <family val="2"/>
        <scheme val="minor"/>
      </rPr>
      <t xml:space="preserve"> (mg/kg-day)</t>
    </r>
  </si>
  <si>
    <r>
      <rPr>
        <b/>
        <sz val="10"/>
        <rFont val="Calibri"/>
        <family val="2"/>
        <scheme val="minor"/>
      </rPr>
      <t>CNS</t>
    </r>
    <r>
      <rPr>
        <sz val="10"/>
        <rFont val="Calibri"/>
        <family val="2"/>
        <scheme val="minor"/>
      </rPr>
      <t xml:space="preserve">
Temporarily disabling effects
{Davis, 1934, 3611}</t>
    </r>
  </si>
  <si>
    <r>
      <rPr>
        <b/>
        <sz val="10"/>
        <rFont val="Calibri"/>
        <family val="2"/>
        <scheme val="minor"/>
      </rPr>
      <t>Liver</t>
    </r>
    <r>
      <rPr>
        <sz val="10"/>
        <rFont val="Calibri"/>
        <family val="2"/>
        <scheme val="minor"/>
      </rPr>
      <t xml:space="preserve">
Liver toxicity - Histopathological changes in the liver (rats)
{Nagano, 2007, 194127}</t>
    </r>
  </si>
  <si>
    <r>
      <rPr>
        <b/>
        <sz val="10"/>
        <rFont val="Calibri"/>
        <family val="2"/>
        <scheme val="minor"/>
      </rPr>
      <t>Liver</t>
    </r>
    <r>
      <rPr>
        <sz val="10"/>
        <rFont val="Calibri"/>
        <family val="2"/>
        <scheme val="minor"/>
      </rPr>
      <t xml:space="preserve">
Liver toxicity - Fatty changes in the liver, chronic inhalation (rat)
{Nagano, 2007, 194127}</t>
    </r>
  </si>
  <si>
    <r>
      <t xml:space="preserve">Cancer - Linear
</t>
    </r>
    <r>
      <rPr>
        <sz val="10"/>
        <rFont val="Calibri"/>
        <family val="2"/>
        <scheme val="minor"/>
      </rPr>
      <t xml:space="preserve"> Adrenal pheochromocytoma {U.S. EPA, 2010, 3490869} </t>
    </r>
  </si>
  <si>
    <t>Non-purified product stream (1,2-DCA stream straight from manufacturing process)</t>
  </si>
  <si>
    <t>Workers (Operators)</t>
  </si>
  <si>
    <t>Assumed byproduct mol%</t>
  </si>
  <si>
    <t>Vapor Pressure (mm Hg at 25C)</t>
  </si>
  <si>
    <t>Exposure Frequency</t>
  </si>
  <si>
    <t>Eight Hour TWA Exposures</t>
  </si>
  <si>
    <t>Acute, Non-Cancer Exposures</t>
  </si>
  <si>
    <t>(day/yr)</t>
  </si>
  <si>
    <r>
      <t>C</t>
    </r>
    <r>
      <rPr>
        <b/>
        <vertAlign val="subscript"/>
        <sz val="10"/>
        <rFont val="Calibri"/>
        <family val="2"/>
        <scheme val="minor"/>
      </rPr>
      <t>8-hr TWA</t>
    </r>
    <r>
      <rPr>
        <b/>
        <sz val="10"/>
        <rFont val="Calibri"/>
        <family val="2"/>
        <scheme val="minor"/>
      </rPr>
      <t xml:space="preserve"> (ppm)</t>
    </r>
  </si>
  <si>
    <r>
      <t>AC</t>
    </r>
    <r>
      <rPr>
        <b/>
        <vertAlign val="subscript"/>
        <sz val="10"/>
        <rFont val="Calibri"/>
        <family val="2"/>
        <scheme val="minor"/>
      </rPr>
      <t xml:space="preserve">8-hr TWA </t>
    </r>
    <r>
      <rPr>
        <b/>
        <sz val="10"/>
        <rFont val="Calibri"/>
        <family val="2"/>
        <scheme val="minor"/>
      </rPr>
      <t>(ppm)</t>
    </r>
  </si>
  <si>
    <r>
      <t>ADC</t>
    </r>
    <r>
      <rPr>
        <b/>
        <vertAlign val="subscript"/>
        <sz val="10"/>
        <rFont val="Calibri"/>
        <family val="2"/>
        <scheme val="minor"/>
      </rPr>
      <t>8-hr TWA</t>
    </r>
    <r>
      <rPr>
        <b/>
        <sz val="10"/>
        <rFont val="Calibri"/>
        <family val="2"/>
        <scheme val="minor"/>
      </rPr>
      <t xml:space="preserve"> (ppm)</t>
    </r>
  </si>
  <si>
    <r>
      <t>LADC</t>
    </r>
    <r>
      <rPr>
        <b/>
        <vertAlign val="subscript"/>
        <sz val="10"/>
        <rFont val="Calibri"/>
        <family val="2"/>
        <scheme val="minor"/>
      </rPr>
      <t>8-hr TWA</t>
    </r>
    <r>
      <rPr>
        <b/>
        <sz val="10"/>
        <rFont val="Calibri"/>
        <family val="2"/>
        <scheme val="minor"/>
      </rPr>
      <t xml:space="preserve"> (ppm)</t>
    </r>
  </si>
  <si>
    <t>Exposure Scenario</t>
  </si>
  <si>
    <t>Total Datapoints</t>
  </si>
  <si>
    <t>Sources &amp; Notes</t>
  </si>
  <si>
    <t>8-hr TWA</t>
  </si>
  <si>
    <t>ONUs</t>
  </si>
  <si>
    <t>Maximum % on site (the highest % of the chemical a worker may be exposed to)</t>
  </si>
  <si>
    <t>Dermal Calculation Numbers</t>
  </si>
  <si>
    <t>Calculated High-End Doses</t>
  </si>
  <si>
    <t>Calculated Central Tendency Doses</t>
  </si>
  <si>
    <t>Notes</t>
  </si>
  <si>
    <t>High-End</t>
  </si>
  <si>
    <r>
      <t>Fraction Absorbed, f</t>
    </r>
    <r>
      <rPr>
        <b/>
        <vertAlign val="subscript"/>
        <sz val="10"/>
        <color theme="1"/>
        <rFont val="Calibri"/>
        <family val="2"/>
        <scheme val="minor"/>
      </rPr>
      <t>abs</t>
    </r>
  </si>
  <si>
    <t>Exposure Days</t>
  </si>
  <si>
    <t>Potential Dose Rate</t>
  </si>
  <si>
    <r>
      <t>Qu (mg/cm</t>
    </r>
    <r>
      <rPr>
        <b/>
        <vertAlign val="superscript"/>
        <sz val="10"/>
        <color theme="1"/>
        <rFont val="Calibri"/>
        <family val="2"/>
        <scheme val="minor"/>
      </rPr>
      <t>2</t>
    </r>
    <r>
      <rPr>
        <b/>
        <sz val="10"/>
        <color theme="1"/>
        <rFont val="Calibri"/>
        <family val="2"/>
        <scheme val="minor"/>
      </rPr>
      <t>-event)</t>
    </r>
  </si>
  <si>
    <r>
      <t>Surface Area (cm</t>
    </r>
    <r>
      <rPr>
        <b/>
        <vertAlign val="superscript"/>
        <sz val="10"/>
        <color theme="1"/>
        <rFont val="Calibri"/>
        <family val="2"/>
        <scheme val="minor"/>
      </rPr>
      <t>2</t>
    </r>
    <r>
      <rPr>
        <b/>
        <sz val="10"/>
        <color theme="1"/>
        <rFont val="Calibri"/>
        <family val="2"/>
        <scheme val="minor"/>
      </rPr>
      <t>)</t>
    </r>
  </si>
  <si>
    <r>
      <t>APDR</t>
    </r>
    <r>
      <rPr>
        <b/>
        <vertAlign val="subscript"/>
        <sz val="10"/>
        <color theme="1"/>
        <rFont val="Calibri"/>
        <family val="2"/>
        <scheme val="minor"/>
      </rPr>
      <t>exp</t>
    </r>
    <r>
      <rPr>
        <b/>
        <sz val="10"/>
        <color theme="1"/>
        <rFont val="Calibri"/>
        <family val="2"/>
        <scheme val="minor"/>
      </rPr>
      <t xml:space="preserve"> (mg/day)</t>
    </r>
  </si>
  <si>
    <t>ARD (mg/kg-day)</t>
  </si>
  <si>
    <t>CRD (mg/kg-day)</t>
  </si>
  <si>
    <t>LCRD (mg/kg-day)</t>
  </si>
  <si>
    <t xml:space="preserve">Estimated fraction absorbed using the steady-state approximation for large doses (See Appendix K of PCE Supplemental Engineering Report). </t>
  </si>
  <si>
    <t xml:space="preserve">Estimated fraction absorbed using the steady-state approximation for large doses (See Appendix E of DCM Supplemental Engineering Report). </t>
  </si>
  <si>
    <r>
      <t>Max Y</t>
    </r>
    <r>
      <rPr>
        <b/>
        <vertAlign val="subscript"/>
        <sz val="10"/>
        <color rgb="FF000000"/>
        <rFont val="Calibri"/>
        <family val="2"/>
        <scheme val="minor"/>
      </rPr>
      <t>derm</t>
    </r>
    <r>
      <rPr>
        <b/>
        <sz val="10"/>
        <color rgb="FF000000"/>
        <rFont val="Calibri"/>
        <family val="2"/>
        <scheme val="minor"/>
      </rPr>
      <t xml:space="preserve"> 
(the highest % of the chemical a worker may be exposed to)</t>
    </r>
  </si>
  <si>
    <t>Acute Non-Cancer</t>
  </si>
  <si>
    <t>Chronic Non-Cancer</t>
  </si>
  <si>
    <t>MW (g/mol)</t>
  </si>
  <si>
    <t>Acute Inhalation Toxicity Endpoint</t>
  </si>
  <si>
    <t>Acute Inhalation Study</t>
  </si>
  <si>
    <r>
      <t>Inhalation HEC (mg/m</t>
    </r>
    <r>
      <rPr>
        <b/>
        <vertAlign val="superscript"/>
        <sz val="11"/>
        <color theme="1"/>
        <rFont val="Calibri"/>
        <family val="2"/>
        <scheme val="minor"/>
      </rPr>
      <t>3</t>
    </r>
    <r>
      <rPr>
        <b/>
        <sz val="11"/>
        <color theme="1"/>
        <rFont val="Calibri"/>
        <family val="2"/>
        <scheme val="minor"/>
      </rPr>
      <t>)</t>
    </r>
  </si>
  <si>
    <t>Inhalation HEC 
(ppm)</t>
  </si>
  <si>
    <t>Inhalation Benchmark MOE</t>
  </si>
  <si>
    <t>Acute Dermal Toxicity Endpoint</t>
  </si>
  <si>
    <t>Acute Dermal Study</t>
  </si>
  <si>
    <t>Dermal HED (mg/kg/day)</t>
  </si>
  <si>
    <t>Dermal Benchmark MOE</t>
  </si>
  <si>
    <t>Chronic Inhalation Toxicity Endpoint</t>
  </si>
  <si>
    <t>Chronic Inhalation Study</t>
  </si>
  <si>
    <t>Chronic Dermal Toxicity Endpoint</t>
  </si>
  <si>
    <t>Chronic Dermal Study</t>
  </si>
  <si>
    <t>IUR Toxicity Endpoint</t>
  </si>
  <si>
    <t>IUR Study</t>
  </si>
  <si>
    <r>
      <t xml:space="preserve">Inhalation IUR (per </t>
    </r>
    <r>
      <rPr>
        <b/>
        <sz val="11"/>
        <color theme="1"/>
        <rFont val="Aptos Narrow"/>
        <family val="2"/>
      </rPr>
      <t>µ</t>
    </r>
    <r>
      <rPr>
        <b/>
        <sz val="11"/>
        <color theme="1"/>
        <rFont val="Calibri"/>
        <family val="2"/>
        <scheme val="minor"/>
      </rPr>
      <t>g/m</t>
    </r>
    <r>
      <rPr>
        <b/>
        <vertAlign val="superscript"/>
        <sz val="11"/>
        <color theme="1"/>
        <rFont val="Calibri"/>
        <family val="2"/>
        <scheme val="minor"/>
      </rPr>
      <t>3</t>
    </r>
    <r>
      <rPr>
        <b/>
        <sz val="11"/>
        <color theme="1"/>
        <rFont val="Calibri"/>
        <family val="2"/>
        <scheme val="minor"/>
      </rPr>
      <t>)</t>
    </r>
  </si>
  <si>
    <t>Inhalation IUR 
(per ppm)</t>
  </si>
  <si>
    <t>Dermal CSF Toxicity Endpoint</t>
  </si>
  <si>
    <t>Dermal CSF Study</t>
  </si>
  <si>
    <t>Dermal CSF (per mg/kg/bw/day)</t>
  </si>
  <si>
    <t>Degeneration with necrosis of the olfactory mucosa</t>
  </si>
  <si>
    <t>Dow Chemical, 2006</t>
  </si>
  <si>
    <t>Increased relative kidney weight</t>
  </si>
  <si>
    <t>Storer et al, 1984</t>
  </si>
  <si>
    <t>Decreased sperm concentration</t>
  </si>
  <si>
    <t>Zhang et al., 2017</t>
  </si>
  <si>
    <t>NTP, 1991</t>
  </si>
  <si>
    <t>Combined tumor model</t>
  </si>
  <si>
    <t>Nagano et al., 2006</t>
  </si>
  <si>
    <t>Extrapolated from IUR</t>
  </si>
  <si>
    <t>Not Quantified</t>
  </si>
  <si>
    <t>Mortality due 
to immuno-suppression</t>
  </si>
  <si>
    <t>Selgrade and Gilmour, 2010</t>
  </si>
  <si>
    <t>Autoimmunity (increased anti‐ dsDNA and ssDNA antibodies)</t>
  </si>
  <si>
    <t>Keil et al., 2009</t>
  </si>
  <si>
    <t>Human kidney cancer</t>
  </si>
  <si>
    <t>Charbotel et al., 2006</t>
  </si>
  <si>
    <t>Neurotoxicity increased latencies for pattern reversal visual-evoked potentials</t>
  </si>
  <si>
    <t>Altmann et al., 1990</t>
  </si>
  <si>
    <t>Extrapolated from acute inhalation POD</t>
  </si>
  <si>
    <t>Midpoint of the range of the two neurotoxicity studies (adjusted for 8 occupational TWA)</t>
  </si>
  <si>
    <t>U.S.EPA, 2012</t>
  </si>
  <si>
    <t>Extrapolated from chronic inhalation POD</t>
  </si>
  <si>
    <t>Male mouse hepatocellular tumors</t>
  </si>
  <si>
    <t>JISA, 1993</t>
  </si>
  <si>
    <t>Extrapolated from the IUR</t>
  </si>
  <si>
    <t>JISA 1993</t>
  </si>
  <si>
    <t>Impairment of CNS 7% ↓ visual peripheral performance at 1.5 hours</t>
  </si>
  <si>
    <t>Putz et al., 1979</t>
  </si>
  <si>
    <t>Extrapolation from acute inhalation POD</t>
  </si>
  <si>
    <t>Hepatic lipid vacuolation</t>
  </si>
  <si>
    <t>Nitschke et al., 1988</t>
  </si>
  <si>
    <t>Liver and lung tumors</t>
  </si>
  <si>
    <t>NTP, 1986</t>
  </si>
  <si>
    <t>CNS (temporarily disabling effects)</t>
  </si>
  <si>
    <t>Davis, 1934</t>
  </si>
  <si>
    <t>Fatty changes in the liver</t>
  </si>
  <si>
    <t>Nagano et al., 2007</t>
  </si>
  <si>
    <t>Adrenal pheochromocytoma</t>
  </si>
  <si>
    <t>Byproduct</t>
  </si>
  <si>
    <t>CASRN</t>
  </si>
  <si>
    <t>wt %</t>
  </si>
  <si>
    <t>mass (g)</t>
  </si>
  <si>
    <t>moles</t>
  </si>
  <si>
    <t>mol fraction</t>
  </si>
  <si>
    <t xml:space="preserve">mol % </t>
  </si>
  <si>
    <t>Anticipated 1,2-DCA mol %</t>
  </si>
  <si>
    <t>1,2-dichloroethane (1,2-DCA; CASRN 107-06-2)</t>
  </si>
  <si>
    <t>1,1-dichloroethane (1,1-DCA; CASRN 75-34-3)</t>
  </si>
  <si>
    <t>Trichloroethylene (CASRN 79-01-6)</t>
  </si>
  <si>
    <t>Tetrachloroethylene/Perchloroethylene (CASRN 127- 18-4)</t>
  </si>
  <si>
    <t>Methylene dichloride (CASRN 75-09-2)</t>
  </si>
  <si>
    <t>Carbon Tetrachloride (56-23-5)</t>
  </si>
  <si>
    <t>Total</t>
  </si>
  <si>
    <t>Light Liquid Ends (wt%)</t>
  </si>
  <si>
    <t>Heavy Liquid Ends (wt%)</t>
  </si>
  <si>
    <t>Range</t>
  </si>
  <si>
    <t>Assumed Conc</t>
  </si>
  <si>
    <t>mols</t>
  </si>
  <si>
    <t>mol %</t>
  </si>
  <si>
    <t>Max mol%</t>
  </si>
  <si>
    <t>Associated 1,2-DCA mol%</t>
  </si>
  <si>
    <t>High End Conc in EDC Product (wt%)</t>
  </si>
  <si>
    <t>Source</t>
  </si>
  <si>
    <t>10-85%</t>
  </si>
  <si>
    <t>8-75%</t>
  </si>
  <si>
    <t>Byproducts Assessment Options 1/13/23; https://www.regulations.gov/document/EPA-HQ-OPPT-2018-0421-0027</t>
  </si>
  <si>
    <t>1-30%</t>
  </si>
  <si>
    <t>0-21%</t>
  </si>
  <si>
    <t>trace</t>
  </si>
  <si>
    <t>https://www.regulations.gov/comment/EPA-HQ-OPPT-2016-0732-0013</t>
  </si>
  <si>
    <t>none</t>
  </si>
  <si>
    <t>ppm quantities</t>
  </si>
  <si>
    <t xml:space="preserve">https://www.regulations.gov/comment/EPA-HQ-OPPT-2016-0732-0013; Composition in Light Liquid Ends, typical weight % is in ppm quantities. Assumed 999 ppm. </t>
  </si>
  <si>
    <t>Non-purified product stream concentration (wt%)</t>
  </si>
  <si>
    <t xml:space="preserve">Maximum concentration (wt%) </t>
  </si>
  <si>
    <t>Data from Table 9 of Final Study Report: Inhalation Monitoring of 1,2-Dichloroethane (CASRN 107-06-2)</t>
  </si>
  <si>
    <t>Table 9. Full-Shift EDC Concentration Summary Statistics by SEG – Manufacturers, ppb</t>
  </si>
  <si>
    <t>SEG</t>
  </si>
  <si>
    <t># of Samples</t>
  </si>
  <si>
    <t># of ND</t>
  </si>
  <si>
    <t>% ND</t>
  </si>
  <si>
    <t>Min</t>
  </si>
  <si>
    <t>Max</t>
  </si>
  <si>
    <t>Mean</t>
  </si>
  <si>
    <t>SD</t>
  </si>
  <si>
    <t>GM</t>
  </si>
  <si>
    <t>GSD</t>
  </si>
  <si>
    <t>50%ile</t>
  </si>
  <si>
    <t>95%ile</t>
  </si>
  <si>
    <t>Operator (OP)</t>
  </si>
  <si>
    <t>Laboratory Technician (LBT)</t>
  </si>
  <si>
    <t>Logistics Technician (LGT)</t>
  </si>
  <si>
    <t>Maintenance Technician (MT)</t>
  </si>
  <si>
    <t>Assigned Protection Factor</t>
  </si>
  <si>
    <t>Dermal Exposure Scenario</t>
  </si>
  <si>
    <t>Exposure Factors</t>
  </si>
  <si>
    <t>Average Adult Worker</t>
  </si>
  <si>
    <t>Woman of Childbearing Age</t>
  </si>
  <si>
    <t>Characterization of Value</t>
  </si>
  <si>
    <t>Body Weight, BW (kg)</t>
  </si>
  <si>
    <r>
      <t>1 Hand Surface Area (cm</t>
    </r>
    <r>
      <rPr>
        <b/>
        <vertAlign val="superscript"/>
        <sz val="11"/>
        <color theme="1"/>
        <rFont val="Calibri"/>
        <family val="2"/>
        <scheme val="minor"/>
      </rPr>
      <t>2</t>
    </r>
    <r>
      <rPr>
        <b/>
        <sz val="11"/>
        <color theme="1"/>
        <rFont val="Calibri"/>
        <family val="2"/>
        <scheme val="minor"/>
      </rPr>
      <t>)</t>
    </r>
  </si>
  <si>
    <r>
      <t>2 Hand Surface Area (cm</t>
    </r>
    <r>
      <rPr>
        <b/>
        <vertAlign val="superscript"/>
        <sz val="11"/>
        <color theme="1"/>
        <rFont val="Calibri"/>
        <family val="2"/>
        <scheme val="minor"/>
      </rPr>
      <t>2</t>
    </r>
    <r>
      <rPr>
        <b/>
        <sz val="11"/>
        <color theme="1"/>
        <rFont val="Calibri"/>
        <family val="2"/>
        <scheme val="minor"/>
      </rPr>
      <t>)</t>
    </r>
  </si>
  <si>
    <t>Working Years - High-End (yr)</t>
  </si>
  <si>
    <t>Working Years - Central Tendency (yr)</t>
  </si>
  <si>
    <t>Lifetime</t>
  </si>
  <si>
    <t>Woman of Childbearing Age Exposure Factors:</t>
  </si>
  <si>
    <t>Body Weight:</t>
  </si>
  <si>
    <t>From the Exposure Factors Handbook Table 8-5: Mean and Percentile Body Weights (kg) for Females Derived from NHANES (1990-2006) (1)</t>
  </si>
  <si>
    <t>Age 16 to &lt;21 years: 65.9 kg (mean)</t>
  </si>
  <si>
    <t>Age 21 to &lt;30 years: 71.9 kg (mean)</t>
  </si>
  <si>
    <t>Age 30 to &lt;40 years: 74.8 kg (mean)</t>
  </si>
  <si>
    <t>Age 40 to &lt;50 years: 77.1 kg (mean)</t>
  </si>
  <si>
    <t>(1) U.S. Environmental Protection Agency (EPA). (2011) Exposure Factors Handbook: 2011 Edition. National Center for Environmental Assessment, Washington, DC; EPA/600/R-09/052F. Available from the National Technical Information Service, Springfield, VA, and online at http://www.epa.gov/ncea/efh.</t>
  </si>
  <si>
    <t>Vapor Pressure (torr)</t>
  </si>
  <si>
    <t>MW</t>
  </si>
  <si>
    <t>g/mol</t>
  </si>
  <si>
    <t>Final Scope Doc</t>
  </si>
  <si>
    <t>Molar Volume</t>
  </si>
  <si>
    <t>L/mol</t>
  </si>
  <si>
    <t>1,2-Dichloroethane</t>
  </si>
  <si>
    <t>OSHA PEL</t>
  </si>
  <si>
    <t>ppm</t>
  </si>
  <si>
    <t>mg/m3</t>
  </si>
  <si>
    <t>Parameter Name</t>
  </si>
  <si>
    <t>Symbol</t>
  </si>
  <si>
    <t>Value</t>
  </si>
  <si>
    <t>Unit</t>
  </si>
  <si>
    <t>Confidence Ratings</t>
  </si>
  <si>
    <t>Greater Than/
Equal to</t>
  </si>
  <si>
    <t>Less Than</t>
  </si>
  <si>
    <t>Exposure Duration</t>
  </si>
  <si>
    <t>ED_8</t>
  </si>
  <si>
    <t xml:space="preserve">hr/day </t>
  </si>
  <si>
    <t xml:space="preserve">High </t>
  </si>
  <si>
    <t>Acute Exposure Averaging Time</t>
  </si>
  <si>
    <t>AT</t>
  </si>
  <si>
    <t>Medium</t>
  </si>
  <si>
    <t xml:space="preserve">Exposure Frequency </t>
  </si>
  <si>
    <t>EF</t>
  </si>
  <si>
    <t xml:space="preserve">day/yr </t>
  </si>
  <si>
    <t>Low</t>
  </si>
  <si>
    <t>Working Years Per Lifetime (Mid)</t>
  </si>
  <si>
    <t>WY_mid</t>
  </si>
  <si>
    <t xml:space="preserve">yr </t>
  </si>
  <si>
    <t>Working Years Per Lifetime (High)</t>
  </si>
  <si>
    <t>WY_high</t>
  </si>
  <si>
    <t>Lifetime Years for LADC</t>
  </si>
  <si>
    <t>LT</t>
  </si>
  <si>
    <t>Averaging time For ADC (Mid)</t>
  </si>
  <si>
    <t>AT_ADC_mid</t>
  </si>
  <si>
    <t xml:space="preserve">hr </t>
  </si>
  <si>
    <t>Averaging time For ADC (High)</t>
  </si>
  <si>
    <t>AT_ADC_high</t>
  </si>
  <si>
    <t>Averaging time For LADC</t>
  </si>
  <si>
    <t>AT_LADC</t>
  </si>
  <si>
    <t>Breathing Rate Ratio</t>
  </si>
  <si>
    <t>Averaging time for CRD (Mid), non-cancer continuous</t>
  </si>
  <si>
    <t>AT_CRD_mid</t>
  </si>
  <si>
    <t>day</t>
  </si>
  <si>
    <t>Averaging time for CRD (High), non-cancer continuous</t>
  </si>
  <si>
    <t>AT_CRD_high</t>
  </si>
  <si>
    <t>Averaging time for LCRD, cancer continuous</t>
  </si>
  <si>
    <t>AT_LCRD</t>
  </si>
  <si>
    <t>Averaging time For ADC Short-term, Subchronic, non-cancer occupational</t>
  </si>
  <si>
    <t>AT_ADC_ST</t>
  </si>
  <si>
    <t>Exposure Days - Short-term/Subchronic</t>
  </si>
  <si>
    <t>EF_ST</t>
  </si>
  <si>
    <t>Averaging time for CRD (Short Term/Subchronic), non-cancer continuous</t>
  </si>
  <si>
    <t>AT_CRD_ST</t>
  </si>
  <si>
    <t>Acute Averaging Time</t>
  </si>
  <si>
    <t>AT_AC</t>
  </si>
  <si>
    <t xml:space="preserve"> </t>
  </si>
  <si>
    <t>Where:</t>
  </si>
  <si>
    <t>ADC    =  average daily concentration (8-hr TWA) used for chronic non-cancer risk calculations</t>
  </si>
  <si>
    <t>LADC =  lifetime average daily concentration (8-hr TWA) used for chronic cancer risk calculations</t>
  </si>
  <si>
    <t>C         =  contaminant concentration in air (8-hr TWA)</t>
  </si>
  <si>
    <t>ED      =  exposure duration (see below for values)</t>
  </si>
  <si>
    <t>EF       =  exposure frequency (see below for values)</t>
  </si>
  <si>
    <t>WY     =  working years per lifetime (see below for values)</t>
  </si>
  <si>
    <t>AT       =  averaging time:</t>
  </si>
  <si>
    <t>     AT for ADC = WY × EF × ED</t>
  </si>
  <si>
    <t>     AT for LADC = LT x 365 day/yr x 24 hr/day</t>
  </si>
  <si>
    <t>     LT = lifetime years (see below for value)</t>
  </si>
  <si>
    <t>0.088 to 0.17%</t>
  </si>
  <si>
    <t>99.3 to 99.4%</t>
  </si>
  <si>
    <t>0.1 to 16.3%</t>
  </si>
  <si>
    <t>83.4 to 99.5%</t>
  </si>
  <si>
    <t>Workers</t>
  </si>
  <si>
    <t>Monte Carlo Analyses (Vary Weight% According to Uniform Distribution)</t>
  </si>
  <si>
    <t>Estimated fraction absorbed using the steady-state approximation for large doses (See Appendix H of TCE Supplemental Engineering Report). Modeled with Monte Carlo, varying exposure concentration from 0.0035 to 0.23 wt%. Values pasted from Monte Carlo spreadsheet.</t>
  </si>
  <si>
    <t>Estimated fraction absorbed using the steady-state approximation for large doses (See Appendix E of CCl4 Supplemental Engineering Report). Modeled with Monte Carlo, varying exposure concentration from 0.15 to 30 wt%. Values pasted from Monte Carlo spreadsheet</t>
  </si>
  <si>
    <t>0.0035 to 0.23 wt%</t>
  </si>
  <si>
    <r>
      <t xml:space="preserve"> Y</t>
    </r>
    <r>
      <rPr>
        <b/>
        <vertAlign val="subscript"/>
        <sz val="10"/>
        <color rgb="FF000000"/>
        <rFont val="Calibri"/>
        <family val="2"/>
        <scheme val="minor"/>
      </rPr>
      <t>derm</t>
    </r>
    <r>
      <rPr>
        <b/>
        <sz val="10"/>
        <color rgb="FF000000"/>
        <rFont val="Calibri"/>
        <family val="2"/>
        <scheme val="minor"/>
      </rPr>
      <t xml:space="preserve"> </t>
    </r>
  </si>
  <si>
    <t>0.15 to 30 wt%</t>
  </si>
  <si>
    <t>CASRN 107-06-2</t>
  </si>
  <si>
    <t>Surrogate data from 1,2-dichloroethane exposure monitoring at 1,2-dichloroethane manufacturing sites were used to estimate inhalation exposure to each byproduct (see "methodologies" below). However, the 1,1-dichloroethane tabs ("1,1-DCA_test order_") express the risk calculations using exposure monitoring from the 1,1-dichloroethane test orders, where monitoring data was collected at a 1,2-dichloroethane manufacturing site where 1,1-dichloroethane was produced as a byproduct. This test order had granular results for four similar exposure groups (SEGs). They are represented as the following:
OP: Operator/Process Technician
MT: Maintenance Technician
LGT: Logistics/Distribution
LBT: Laboratory Technician
These "1,1-DCA_test order_" tabs are the tabs used in the risk assessment. 
Note that for these tabs the inhalation exposure and risk results will be the same in both the "product" and "max" tabs because the exposures are directly from test order data (as opposed to the other chemicals, where surrogate data was used where results were calculated with two concentrations each). Separate tabs are still used in the test order data due to the variation in dermal exposure.</t>
  </si>
  <si>
    <t>This tab compiles the concentration of 1,2-dichloroethane and byproducts in non-purified product stream in addition to the light and heavy liquid waste streams. 
Representative light and heavy stream concentrations were assumed based on the high end wt% of each of the byproducts. The remainder was assumed to be 1,2-dichloroethane. Mol fractions for each component were calculated, and the highest mol% (and associated 1,2-dichloroethane mol%) were used for the max inhalation exposure calculations.</t>
  </si>
  <si>
    <t>Summary of 1,2-dichloroethane test order data during Manufacturing</t>
  </si>
  <si>
    <t>Inhalation Exposure - Inhalation monitoring data for 1,2-dichloroethane are available. Using this available data as surrogate (more specifically, the data for the Operator similar exposure group (SEG) which shows the highest occupational exposure), these known exposure concentrations can be used with the following equation to estimate byproduct concentrations. The equation adjusts with the vapor pressures and mol fractions of the individual byproduct chemicals to estimate exposure. For 1,2-dichloroethane and byproducts, the concentration data provided by VI was used to estimate mole fractions. 
	Where:
Cbyproduct   	= Estimated airborne concentration of the byproduct (ppm)
Cknown		= Airborne concentration of known chemical (ppm)
VPbyproduct	= Vapor pressure of the byproduct (torr)
Xbyproduct 	= Mole fraction of the byproduct 
VPknown 		= Vapor pressure of known chemical (torr)
Xknown 		= Mole fraction of known chemical</t>
  </si>
  <si>
    <t>Dermal exposures are assessed for the unpurified 1,2-dichloroethane stream and then for the highest expected byproduct concentration in the light or heavy end streams.</t>
  </si>
  <si>
    <t xml:space="preserve">Methylene chloride (MC) </t>
  </si>
  <si>
    <t>Carbon tetrachloride (CTC)</t>
  </si>
  <si>
    <r>
      <t xml:space="preserve">Calculation of inhalation exposures for each byproduct based on the 1,2-dichloroethane exposure concentrations, using the equation described below to adjust exposure concentrations based on VP and mol%. 1,2-dichloroethane exposure concentrations were from test order data during manufacturing of 1,2-dichloroethane. </t>
    </r>
    <r>
      <rPr>
        <sz val="11"/>
        <rFont val="Calibri"/>
        <family val="2"/>
        <scheme val="minor"/>
      </rPr>
      <t>1,1-DCA_test order exposure concentrations were from test order data during at 1,2-dichloroethane facilities unintentionally manufacturing 1,1-dichloroethane as a byproduct. For the other byproduct chemicals, exposure concentrations were based on the 1,2-dichloroet</t>
    </r>
    <r>
      <rPr>
        <sz val="11"/>
        <color theme="1"/>
        <rFont val="Calibri"/>
        <family val="2"/>
        <scheme val="minor"/>
      </rPr>
      <t xml:space="preserve">hane concentrations and corrections for mole fraction and vapor pressure. Concentrations based on the non-purified product stream and the maximum % on site are presented. </t>
    </r>
  </si>
  <si>
    <t>Worker with Gloves; 
PF of 5</t>
  </si>
  <si>
    <t>Worker with Gloves; 
PF of 10</t>
  </si>
  <si>
    <t>Worker with Gloves; 
PF of 20</t>
  </si>
  <si>
    <t>Non-purified product stream (1,2-Dichloroethane stream straight from manufacturing process)</t>
  </si>
  <si>
    <t>1,1-Dichloroethane_test order_Operator/Process Technician</t>
  </si>
  <si>
    <t>1,1-Dichloroethane_test order_Maintenance Technician</t>
  </si>
  <si>
    <t>1,1-Dichloroethane_test order_Logistics/Distribution</t>
  </si>
  <si>
    <t>1,1-Dichloroethane_test order_Laboratory Technician (LBT)</t>
  </si>
  <si>
    <t>1,1-Dichloroethane_test order_ONUs</t>
  </si>
  <si>
    <t>1,1-Dichloroethane_test order</t>
  </si>
  <si>
    <t>Trichloroethylene_Operator</t>
  </si>
  <si>
    <t>Trichloroethylene_Laboratory Technician</t>
  </si>
  <si>
    <t>Trichloroethylene_Logistics Technician</t>
  </si>
  <si>
    <t>Trichloroethylene_Maintenance Technician</t>
  </si>
  <si>
    <t>Carbon Tetrachloride_Operator</t>
  </si>
  <si>
    <t>Carbon Tetrachloride_Laboratory Technician</t>
  </si>
  <si>
    <t>Carbon Tetrachloride_Logistics Technician</t>
  </si>
  <si>
    <t>Carbon Tetrachloride_Maintenance Technician</t>
  </si>
  <si>
    <r>
      <t>C</t>
    </r>
    <r>
      <rPr>
        <b/>
        <vertAlign val="subscript"/>
        <sz val="10"/>
        <rFont val="Calibri"/>
        <family val="2"/>
        <scheme val="minor"/>
      </rPr>
      <t>1,1-DCA</t>
    </r>
    <r>
      <rPr>
        <b/>
        <sz val="10"/>
        <rFont val="Calibri"/>
        <family val="2"/>
        <scheme val="minor"/>
      </rPr>
      <t>, 8-hr TWA (ppm)</t>
    </r>
  </si>
  <si>
    <r>
      <t>AC</t>
    </r>
    <r>
      <rPr>
        <b/>
        <vertAlign val="subscript"/>
        <sz val="10"/>
        <rFont val="Calibri"/>
        <family val="2"/>
        <scheme val="minor"/>
      </rPr>
      <t>1,1-DCA</t>
    </r>
    <r>
      <rPr>
        <b/>
        <sz val="10"/>
        <rFont val="Calibri"/>
        <family val="2"/>
        <scheme val="minor"/>
      </rPr>
      <t>, 8-hr TWA (ppm)</t>
    </r>
  </si>
  <si>
    <r>
      <t>ADC</t>
    </r>
    <r>
      <rPr>
        <b/>
        <vertAlign val="subscript"/>
        <sz val="10"/>
        <rFont val="Calibri"/>
        <family val="2"/>
        <scheme val="minor"/>
      </rPr>
      <t>1,1-DCA</t>
    </r>
    <r>
      <rPr>
        <b/>
        <sz val="10"/>
        <rFont val="Calibri"/>
        <family val="2"/>
        <scheme val="minor"/>
      </rPr>
      <t>, 8-hr TWA (ppm)</t>
    </r>
  </si>
  <si>
    <r>
      <t>LADC</t>
    </r>
    <r>
      <rPr>
        <b/>
        <vertAlign val="subscript"/>
        <sz val="10"/>
        <rFont val="Calibri"/>
        <family val="2"/>
        <scheme val="minor"/>
      </rPr>
      <t>1,1-DCA</t>
    </r>
    <r>
      <rPr>
        <b/>
        <sz val="10"/>
        <rFont val="Calibri"/>
        <family val="2"/>
        <scheme val="minor"/>
      </rPr>
      <t>, 8-hr TWA (ppm)</t>
    </r>
  </si>
  <si>
    <r>
      <t>ARD</t>
    </r>
    <r>
      <rPr>
        <b/>
        <vertAlign val="subscript"/>
        <sz val="10"/>
        <rFont val="Calibri"/>
        <family val="2"/>
        <scheme val="minor"/>
      </rPr>
      <t>1,1-DCA</t>
    </r>
    <r>
      <rPr>
        <b/>
        <sz val="10"/>
        <rFont val="Calibri"/>
        <family val="2"/>
        <scheme val="minor"/>
      </rPr>
      <t xml:space="preserve"> (mg/kg-day)</t>
    </r>
  </si>
  <si>
    <r>
      <t>CRD</t>
    </r>
    <r>
      <rPr>
        <b/>
        <vertAlign val="subscript"/>
        <sz val="10"/>
        <rFont val="Calibri"/>
        <family val="2"/>
        <scheme val="minor"/>
      </rPr>
      <t>1,1-DCA</t>
    </r>
    <r>
      <rPr>
        <b/>
        <sz val="10"/>
        <rFont val="Calibri"/>
        <family val="2"/>
        <scheme val="minor"/>
      </rPr>
      <t xml:space="preserve"> (mg/kg-day)</t>
    </r>
  </si>
  <si>
    <t>Assumed 1,2-Dichloroethane mol%</t>
  </si>
  <si>
    <t>Non-purified product stream 
(1,2-Dichloroethane stream straight from manufacturing process)</t>
  </si>
  <si>
    <t>1,2-Dichloroethane Test Order Data</t>
  </si>
  <si>
    <t>1,1-Dichloroethane Test Order Data</t>
  </si>
  <si>
    <t>Calculated based on 1,2-Dichloroethane Monitoring Data</t>
  </si>
  <si>
    <t>Modeled with Monte Carlo based on 1,2-Dichloroethane Monitoring Data, varying exposure concentration from 0.0035 to 0.23 wt%. 8-hr TWA values pasted from Monte Carlo spreadsheet</t>
  </si>
  <si>
    <t>Modeled with Monte Carlo based on 1,2-Dichloroethane Monitoring Data, varying exposure concentration from 0.15 to 30 wt%. 8-hr TWA values pasted from Monte Carlo spreadsheet</t>
  </si>
  <si>
    <t>Modeled with Monte Carlo based on 1,2-Dichloroethane Monitoring Data, varying exposure concentration from 0.0035 to 0.23%. 8-hr TWA values pasted from Monte Carlo spreadsheet</t>
  </si>
  <si>
    <t>Modeled with Monte Carlo based on 1,2-DichloroethaneMonitoring Data, varying exposure concentration from 0.15 to 30 wt%. 8-hr TWA values pasted from Monte Carlo spreadsheet</t>
  </si>
  <si>
    <t xml:space="preserve">These tabs represents exposure to the unpurified product stream of 1,2-dichloroethane, where the byproducts are diluted among the 1,2-dichloroethane product (see 'Inhalation Exposures' tab for the assumed chemical concentrations). Byproduct names and abbreviations are: 1,1-Dichloroethane (1,1-DCA), Trichloroethylene (TCE), Perchloroethylene (PCE), Methylene Chloride (MC), and Carbon Tetrachloride (CTC).
Each tab contains the exposure and estimated risk for occupational and dermal exposure. Each estimates, where available, acute non-cancer, chronic non-cancer, and chronic cancer exposure and risk. 1,1-Dichloroethane also estimates intermediate non-cancer risk. This is because 1,1-dichloroethane is the only one of the byproduct chemicals that has an intermediate hazard endpoint upon which to determine risk. 
Where risk was found, a risk reduction table is included to express what Assigned Protection Factor (APF, for inhalation), or Protection Factor (PF, for dermal) may be required to reduce the risk to meet the benchmark.
When risk was not found, a risk reduction table was not always included in the spreadsheet. 
Note that the cells are color coded. Red indicates that the value does not meet the benchmark. Other values have no color fill, or are filled with green. </t>
  </si>
  <si>
    <t xml:space="preserve">Fraction absorbed based on test order study for 1,2-dichloroethane (Labcorp Early Development, 2024, 11581118). </t>
  </si>
  <si>
    <t xml:space="preserve">Fraction absorbed based on test order study for 1,1-dichloroethane (Labcorp Early Development, 2024, 11396332). </t>
  </si>
  <si>
    <t>IRD (mg/kg-day)</t>
  </si>
  <si>
    <r>
      <t>IRD</t>
    </r>
    <r>
      <rPr>
        <b/>
        <vertAlign val="subscript"/>
        <sz val="10"/>
        <color theme="1"/>
        <rFont val="Calibri"/>
        <family val="2"/>
        <scheme val="minor"/>
      </rPr>
      <t>1,2-DCA</t>
    </r>
    <r>
      <rPr>
        <b/>
        <sz val="10"/>
        <color theme="1"/>
        <rFont val="Calibri"/>
        <family val="2"/>
        <scheme val="minor"/>
      </rPr>
      <t>, 8-hr TWA (ppm)</t>
    </r>
  </si>
  <si>
    <r>
      <t>LCRD</t>
    </r>
    <r>
      <rPr>
        <b/>
        <vertAlign val="subscript"/>
        <sz val="10"/>
        <color theme="1"/>
        <rFont val="Calibri"/>
        <family val="2"/>
        <scheme val="minor"/>
      </rPr>
      <t xml:space="preserve">1,2-DCA </t>
    </r>
    <r>
      <rPr>
        <b/>
        <sz val="10"/>
        <color theme="1"/>
        <rFont val="Calibri"/>
        <family val="2"/>
        <scheme val="minor"/>
      </rPr>
      <t>(mg/kg-day)</t>
    </r>
  </si>
  <si>
    <r>
      <t>IRD</t>
    </r>
    <r>
      <rPr>
        <b/>
        <vertAlign val="subscript"/>
        <sz val="10"/>
        <color theme="1"/>
        <rFont val="Calibri"/>
        <family val="2"/>
        <scheme val="minor"/>
      </rPr>
      <t>1,1-DCA</t>
    </r>
    <r>
      <rPr>
        <b/>
        <sz val="10"/>
        <color theme="1"/>
        <rFont val="Calibri"/>
        <family val="2"/>
        <scheme val="minor"/>
      </rPr>
      <t>, 8-hr TWA (ppm)</t>
    </r>
  </si>
  <si>
    <r>
      <t>LCRD</t>
    </r>
    <r>
      <rPr>
        <b/>
        <vertAlign val="subscript"/>
        <sz val="10"/>
        <color theme="1"/>
        <rFont val="Calibri"/>
        <family val="2"/>
        <scheme val="minor"/>
      </rPr>
      <t xml:space="preserve">1,1-DCA </t>
    </r>
    <r>
      <rPr>
        <b/>
        <sz val="10"/>
        <color theme="1"/>
        <rFont val="Calibri"/>
        <family val="2"/>
        <scheme val="minor"/>
      </rPr>
      <t>(mg/kg-day)</t>
    </r>
  </si>
  <si>
    <r>
      <t>IRD</t>
    </r>
    <r>
      <rPr>
        <b/>
        <vertAlign val="subscript"/>
        <sz val="10"/>
        <rFont val="Calibri"/>
        <family val="2"/>
        <scheme val="minor"/>
      </rPr>
      <t>1,1-DCA</t>
    </r>
    <r>
      <rPr>
        <b/>
        <sz val="10"/>
        <rFont val="Calibri"/>
        <family val="2"/>
        <scheme val="minor"/>
      </rPr>
      <t>, 8-hr TWA (ppm)</t>
    </r>
  </si>
  <si>
    <r>
      <t>LCRD</t>
    </r>
    <r>
      <rPr>
        <b/>
        <vertAlign val="subscript"/>
        <sz val="10"/>
        <rFont val="Calibri"/>
        <family val="2"/>
        <scheme val="minor"/>
      </rPr>
      <t xml:space="preserve">1,1-DCA </t>
    </r>
    <r>
      <rPr>
        <b/>
        <sz val="10"/>
        <rFont val="Calibri"/>
        <family val="2"/>
        <scheme val="minor"/>
      </rPr>
      <t>(mg/kg-day)</t>
    </r>
  </si>
  <si>
    <r>
      <t>LCRD</t>
    </r>
    <r>
      <rPr>
        <b/>
        <vertAlign val="subscript"/>
        <sz val="10"/>
        <color theme="1"/>
        <rFont val="Calibri"/>
        <family val="2"/>
        <scheme val="minor"/>
      </rPr>
      <t xml:space="preserve">TCE </t>
    </r>
    <r>
      <rPr>
        <b/>
        <sz val="10"/>
        <color theme="1"/>
        <rFont val="Calibri"/>
        <family val="2"/>
        <scheme val="minor"/>
      </rPr>
      <t>(mg/kg-day)</t>
    </r>
  </si>
  <si>
    <r>
      <t>LCRD</t>
    </r>
    <r>
      <rPr>
        <b/>
        <vertAlign val="subscript"/>
        <sz val="10"/>
        <color theme="1"/>
        <rFont val="Calibri"/>
        <family val="2"/>
        <scheme val="minor"/>
      </rPr>
      <t xml:space="preserve">PCE </t>
    </r>
    <r>
      <rPr>
        <b/>
        <sz val="10"/>
        <color theme="1"/>
        <rFont val="Calibri"/>
        <family val="2"/>
        <scheme val="minor"/>
      </rPr>
      <t>(mg/kg-day)</t>
    </r>
  </si>
  <si>
    <r>
      <t>LCRD</t>
    </r>
    <r>
      <rPr>
        <b/>
        <vertAlign val="subscript"/>
        <sz val="10"/>
        <color theme="1"/>
        <rFont val="Calibri"/>
        <family val="2"/>
        <scheme val="minor"/>
      </rPr>
      <t>MC</t>
    </r>
    <r>
      <rPr>
        <b/>
        <sz val="10"/>
        <color theme="1"/>
        <rFont val="Calibri"/>
        <family val="2"/>
        <scheme val="minor"/>
      </rPr>
      <t xml:space="preserve"> (mg/kg-day)</t>
    </r>
  </si>
  <si>
    <r>
      <t>LCRD</t>
    </r>
    <r>
      <rPr>
        <b/>
        <vertAlign val="subscript"/>
        <sz val="10"/>
        <color theme="1"/>
        <rFont val="Calibri"/>
        <family val="2"/>
        <scheme val="minor"/>
      </rPr>
      <t>CTC</t>
    </r>
    <r>
      <rPr>
        <b/>
        <sz val="10"/>
        <color theme="1"/>
        <rFont val="Calibri"/>
        <family val="2"/>
        <scheme val="minor"/>
      </rPr>
      <t xml:space="preserve"> (mg/kg-day)</t>
    </r>
  </si>
  <si>
    <t>Byproducts Risk Calculator for Occupational Exposure for 1,2-Dichloroethane</t>
  </si>
  <si>
    <t>Acute Potential Dose Rate (APDR) (mg/day)  [referred to as acute absorbed dose rate (AADR) in the Risk Evaluation]</t>
  </si>
  <si>
    <t xml:space="preserve">Calculation of dermal exposures for each byproduct based on byproduct concentrations in the waste streams. Names for dermal exposure outputs in this Risk Calculator may differ from the names for dermal exposure outputs in the Risk Evaluation and associated documents, due to the nature of the formulas in this Risk Calculator. Please see the "Calculation Summary" tab for a list of correspnding dermal terms used in the Risk Evaluation.  </t>
  </si>
  <si>
    <t>Chronic Retained Dose (CRD), Non-Cancer (mg/kg-day) [referred to as chronic absorbed dose (CAD) in the Risk Evaluation]</t>
  </si>
  <si>
    <t>Chronic Retained Dose (CRD), Cancer (mg/kg-day) [referred to as the lifetime chronic absorbed dose (LCAD)]</t>
  </si>
  <si>
    <t>Acute Retained Dose (ARD)(mg/kg-day)  [referred to as acute absorbed dose (AAD) in the Risk Evaluation]</t>
  </si>
  <si>
    <t>Intermediate Retained Dose (IRD), Non-Cancer (mg/kg-day) [referred to as intermediate absorbed dose (IAD) in the Risk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</si>
</sst>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E+00"/>
    <numFmt numFmtId="165" formatCode="0.000"/>
    <numFmt numFmtId="166" formatCode="0.0000"/>
    <numFmt numFmtId="167" formatCode="0.0"/>
    <numFmt numFmtId="168" formatCode="#,##0.000"/>
    <numFmt numFmtId="169" formatCode="0.00000"/>
    <numFmt numFmtId="170" formatCode="0.0%"/>
    <numFmt numFmtId="171" formatCode="0.0000%"/>
    <numFmt numFmtId="172" formatCode="#,##0.0"/>
    <numFmt numFmtId="173" formatCode="_(* #,##0_);_(* \(#,##0\);_(* &quot;-&quot;??_);_(@_)"/>
    <numFmt numFmtId="174" formatCode="0.000%"/>
  </numFmts>
  <fonts count="39"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vertAlign val="superscript"/>
      <sz val="11"/>
      <color theme="1"/>
      <name val="Calibri"/>
      <family val="2"/>
      <scheme val="minor"/>
    </font>
    <font>
      <sz val="10"/>
      <name val="Arial"/>
      <family val="2"/>
    </font>
    <font>
      <b/>
      <sz val="10"/>
      <color theme="1"/>
      <name val="Calibri"/>
      <family val="2"/>
      <scheme val="minor"/>
    </font>
    <font>
      <b/>
      <sz val="10"/>
      <name val="Calibri"/>
      <family val="2"/>
      <scheme val="minor"/>
    </font>
    <font>
      <b/>
      <vertAlign val="subscript"/>
      <sz val="10"/>
      <name val="Calibri"/>
      <family val="2"/>
      <scheme val="minor"/>
    </font>
    <font>
      <sz val="10"/>
      <color rgb="FF000000"/>
      <name val="Calibri"/>
      <family val="2"/>
      <scheme val="minor"/>
    </font>
    <font>
      <b/>
      <sz val="10"/>
      <color rgb="FFFF0000"/>
      <name val="Calibri"/>
      <family val="2"/>
      <scheme val="minor"/>
    </font>
    <font>
      <b/>
      <sz val="10"/>
      <color rgb="FF000000"/>
      <name val="Calibri"/>
      <family val="2"/>
      <scheme val="minor"/>
    </font>
    <font>
      <b/>
      <vertAlign val="subscript"/>
      <sz val="10"/>
      <color rgb="FF000000"/>
      <name val="Calibri"/>
      <family val="2"/>
      <scheme val="minor"/>
    </font>
    <font>
      <b/>
      <vertAlign val="subscript"/>
      <sz val="10"/>
      <color theme="1"/>
      <name val="Calibri"/>
      <family val="2"/>
      <scheme val="minor"/>
    </font>
    <font>
      <b/>
      <vertAlign val="superscript"/>
      <sz val="10"/>
      <color theme="1"/>
      <name val="Calibri"/>
      <family val="2"/>
      <scheme val="minor"/>
    </font>
    <font>
      <b/>
      <sz val="12"/>
      <color theme="1"/>
      <name val="Calibri"/>
      <family val="2"/>
      <scheme val="minor"/>
    </font>
    <font>
      <sz val="10"/>
      <name val="Calibri"/>
      <family val="2"/>
      <scheme val="minor"/>
    </font>
    <font>
      <b/>
      <sz val="16"/>
      <color theme="1"/>
      <name val="Calibri"/>
      <family val="2"/>
      <scheme val="minor"/>
    </font>
    <font>
      <b/>
      <i/>
      <sz val="16"/>
      <color theme="1"/>
      <name val="Calibri"/>
      <family val="2"/>
      <scheme val="minor"/>
    </font>
    <font>
      <sz val="16"/>
      <color theme="1"/>
      <name val="Calibri"/>
      <family val="2"/>
      <scheme val="minor"/>
    </font>
    <font>
      <b/>
      <sz val="16"/>
      <name val="Calibri"/>
      <family val="2"/>
      <scheme val="minor"/>
    </font>
    <font>
      <vertAlign val="superscript"/>
      <sz val="10"/>
      <color theme="1"/>
      <name val="Calibri"/>
      <family val="2"/>
      <scheme val="minor"/>
    </font>
    <font>
      <sz val="11"/>
      <color theme="1"/>
      <name val="Calibri"/>
      <family val="2"/>
      <scheme val="minor"/>
    </font>
    <font>
      <i/>
      <sz val="11"/>
      <color theme="1"/>
      <name val="Calibri"/>
      <family val="2"/>
      <scheme val="minor"/>
    </font>
    <font>
      <b/>
      <sz val="10"/>
      <name val="Arial"/>
      <family val="2"/>
    </font>
    <font>
      <b/>
      <sz val="12"/>
      <name val="Calibri"/>
      <family val="2"/>
    </font>
    <font>
      <sz val="10"/>
      <name val="Calibri"/>
      <family val="2"/>
    </font>
    <font>
      <sz val="12"/>
      <color theme="1"/>
      <name val="Times New Roman"/>
      <family val="1"/>
    </font>
    <font>
      <u/>
      <sz val="11"/>
      <color theme="10"/>
      <name val="Calibri"/>
      <family val="2"/>
      <scheme val="minor"/>
    </font>
    <font>
      <b/>
      <i/>
      <sz val="12"/>
      <color theme="1"/>
      <name val="Calibri"/>
      <family val="2"/>
      <scheme val="minor"/>
    </font>
    <font>
      <b/>
      <sz val="11"/>
      <color theme="1"/>
      <name val="Aptos Narrow"/>
      <family val="2"/>
    </font>
    <font>
      <sz val="10"/>
      <color rgb="FFFF0000"/>
      <name val="Calibri"/>
      <family val="2"/>
      <scheme val="minor"/>
    </font>
    <font>
      <sz val="12"/>
      <color theme="1"/>
      <name val="Calibri"/>
      <family val="2"/>
      <scheme val="minor"/>
    </font>
    <font>
      <sz val="14"/>
      <color theme="1"/>
      <name val="Calibri"/>
      <family val="2"/>
      <scheme val="minor"/>
    </font>
    <font>
      <b/>
      <vertAlign val="superscript"/>
      <sz val="10"/>
      <name val="Calibri"/>
      <family val="2"/>
      <scheme val="minor"/>
    </font>
    <font>
      <b/>
      <sz val="16"/>
      <color rgb="FF000000"/>
      <name val="Times New Roman"/>
      <family val="1"/>
    </font>
    <font>
      <vertAlign val="subscript"/>
      <sz val="10"/>
      <color theme="1"/>
      <name val="Calibri"/>
      <family val="2"/>
      <scheme val="minor"/>
    </font>
    <font>
      <b/>
      <sz val="14"/>
      <color theme="1"/>
      <name val="Times New Roman"/>
      <family val="1"/>
    </font>
    <font>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rgb="FFFFFFFF"/>
        <bgColor rgb="FF000000"/>
      </patternFill>
    </fill>
    <fill>
      <patternFill patternType="solid">
        <fgColor theme="0"/>
        <bgColor theme="4" tint="0.79998168889431442"/>
      </patternFill>
    </fill>
    <fill>
      <patternFill patternType="solid">
        <fgColor theme="8" tint="0.39997558519241921"/>
        <bgColor indexed="64"/>
      </patternFill>
    </fill>
    <fill>
      <patternFill patternType="solid">
        <fgColor theme="8" tint="0.79998168889431442"/>
        <bgColor indexed="64"/>
      </patternFill>
    </fill>
    <fill>
      <patternFill patternType="solid">
        <fgColor theme="4"/>
        <bgColor indexed="64"/>
      </patternFill>
    </fill>
    <fill>
      <patternFill patternType="solid">
        <fgColor rgb="FFD9D9D9"/>
        <bgColor indexed="64"/>
      </patternFill>
    </fill>
    <fill>
      <patternFill patternType="solid">
        <fgColor rgb="FFFFC000"/>
        <bgColor indexed="64"/>
      </patternFill>
    </fill>
    <fill>
      <patternFill patternType="solid">
        <fgColor theme="6" tint="0.79998168889431442"/>
        <bgColor indexed="64"/>
      </patternFill>
    </fill>
  </fills>
  <borders count="75">
    <border>
      <left/>
      <right/>
      <top/>
      <bottom/>
      <diagonal/>
    </border>
    <border>
      <left style="thin">
        <color auto="1"/>
      </left>
      <right/>
      <top style="thin">
        <color auto="1"/>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thin">
        <color auto="1"/>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auto="1"/>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medium">
        <color indexed="64"/>
      </bottom>
      <diagonal/>
    </border>
    <border>
      <left/>
      <right/>
      <top/>
      <bottom style="medium">
        <color auto="1"/>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auto="1"/>
      </left>
      <right style="medium">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auto="1"/>
      </top>
      <bottom style="thin">
        <color auto="1"/>
      </bottom>
      <diagonal/>
    </border>
    <border>
      <left style="medium">
        <color indexed="64"/>
      </left>
      <right style="medium">
        <color indexed="64"/>
      </right>
      <top style="thin">
        <color indexed="64"/>
      </top>
      <bottom/>
      <diagonal/>
    </border>
    <border>
      <left/>
      <right/>
      <top/>
      <bottom style="thin">
        <color auto="1"/>
      </bottom>
      <diagonal/>
    </border>
    <border>
      <left style="thin">
        <color auto="1"/>
      </left>
      <right/>
      <top/>
      <bottom style="medium">
        <color indexed="64"/>
      </bottom>
      <diagonal/>
    </border>
    <border>
      <left style="thin">
        <color indexed="64"/>
      </left>
      <right/>
      <top/>
      <bottom/>
      <diagonal/>
    </border>
  </borders>
  <cellStyleXfs count="5">
    <xf numFmtId="0" fontId="0" fillId="0" borderId="0"/>
    <xf numFmtId="0" fontId="5" fillId="0" borderId="0"/>
    <xf numFmtId="43" fontId="22" fillId="0" borderId="0" applyFont="0" applyFill="0" applyBorder="0" applyAlignment="0" applyProtection="0"/>
    <xf numFmtId="9" fontId="22" fillId="0" borderId="0" applyFont="0" applyFill="0" applyBorder="0" applyAlignment="0" applyProtection="0"/>
    <xf numFmtId="0" fontId="28" fillId="0" borderId="0" applyNumberFormat="0" applyFill="0" applyBorder="0" applyAlignment="0" applyProtection="0"/>
  </cellStyleXfs>
  <cellXfs count="678">
    <xf numFmtId="0" fontId="0" fillId="0" borderId="0" xfId="0"/>
    <xf numFmtId="0" fontId="0" fillId="2" borderId="0" xfId="0" applyFill="1"/>
    <xf numFmtId="0" fontId="2" fillId="2" borderId="0" xfId="0" applyFont="1" applyFill="1"/>
    <xf numFmtId="0" fontId="6" fillId="0" borderId="0" xfId="0" applyFont="1"/>
    <xf numFmtId="0" fontId="3" fillId="0" borderId="0" xfId="0" applyFont="1" applyAlignment="1">
      <alignment horizontal="center"/>
    </xf>
    <xf numFmtId="0" fontId="3" fillId="0" borderId="0" xfId="0" applyFont="1"/>
    <xf numFmtId="0" fontId="6" fillId="4" borderId="14" xfId="0" applyFont="1" applyFill="1" applyBorder="1" applyAlignment="1">
      <alignment vertical="center" wrapText="1"/>
    </xf>
    <xf numFmtId="0" fontId="7" fillId="4" borderId="18" xfId="0" applyFont="1" applyFill="1" applyBorder="1" applyAlignment="1">
      <alignment horizontal="center" vertical="center" wrapText="1"/>
    </xf>
    <xf numFmtId="0" fontId="6" fillId="4" borderId="18" xfId="0" applyFont="1" applyFill="1" applyBorder="1" applyAlignment="1">
      <alignment vertical="center" wrapText="1"/>
    </xf>
    <xf numFmtId="0" fontId="6" fillId="4" borderId="21" xfId="0" applyFont="1" applyFill="1" applyBorder="1" applyAlignment="1">
      <alignment vertical="center" wrapText="1"/>
    </xf>
    <xf numFmtId="0" fontId="7" fillId="4" borderId="24" xfId="0" applyFont="1" applyFill="1" applyBorder="1" applyAlignment="1">
      <alignment horizontal="center" vertical="center" wrapText="1"/>
    </xf>
    <xf numFmtId="0" fontId="6" fillId="4" borderId="24" xfId="0" applyFont="1" applyFill="1" applyBorder="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3" fillId="0" borderId="32" xfId="0" applyFont="1" applyBorder="1" applyAlignment="1">
      <alignment wrapText="1"/>
    </xf>
    <xf numFmtId="9" fontId="3" fillId="5" borderId="33" xfId="0" quotePrefix="1" applyNumberFormat="1" applyFont="1" applyFill="1" applyBorder="1" applyAlignment="1">
      <alignment horizontal="center"/>
    </xf>
    <xf numFmtId="1" fontId="3" fillId="0" borderId="7" xfId="0" applyNumberFormat="1" applyFont="1" applyBorder="1" applyAlignment="1">
      <alignment horizontal="center"/>
    </xf>
    <xf numFmtId="4" fontId="3" fillId="0" borderId="16" xfId="0" applyNumberFormat="1" applyFont="1" applyBorder="1" applyAlignment="1">
      <alignment horizontal="center" vertical="center"/>
    </xf>
    <xf numFmtId="4" fontId="3" fillId="0" borderId="7" xfId="0" applyNumberFormat="1" applyFont="1" applyBorder="1" applyAlignment="1">
      <alignment horizontal="center" vertical="center"/>
    </xf>
    <xf numFmtId="4" fontId="3" fillId="0" borderId="11" xfId="0" applyNumberFormat="1" applyFont="1" applyBorder="1" applyAlignment="1">
      <alignment horizontal="center" vertical="center"/>
    </xf>
    <xf numFmtId="4" fontId="3" fillId="0" borderId="9" xfId="0" applyNumberFormat="1" applyFont="1" applyBorder="1" applyAlignment="1">
      <alignment horizontal="center" vertical="center"/>
    </xf>
    <xf numFmtId="1" fontId="3" fillId="0" borderId="36" xfId="0" applyNumberFormat="1" applyFont="1" applyBorder="1" applyAlignment="1">
      <alignment horizontal="center" vertical="center"/>
    </xf>
    <xf numFmtId="0" fontId="3" fillId="0" borderId="0" xfId="0" applyFont="1" applyAlignment="1">
      <alignment horizontal="center" vertical="center" wrapText="1"/>
    </xf>
    <xf numFmtId="0" fontId="3" fillId="0" borderId="37" xfId="0" applyFont="1" applyBorder="1" applyAlignment="1">
      <alignment vertical="center"/>
    </xf>
    <xf numFmtId="9" fontId="3" fillId="0" borderId="33" xfId="0" applyNumberFormat="1" applyFont="1" applyBorder="1" applyAlignment="1">
      <alignment horizontal="center"/>
    </xf>
    <xf numFmtId="1" fontId="3" fillId="0" borderId="3" xfId="0" applyNumberFormat="1" applyFont="1" applyBorder="1" applyAlignment="1">
      <alignment horizontal="center"/>
    </xf>
    <xf numFmtId="4" fontId="3" fillId="0" borderId="22" xfId="0" applyNumberFormat="1" applyFont="1" applyBorder="1" applyAlignment="1">
      <alignment horizontal="center"/>
    </xf>
    <xf numFmtId="1" fontId="3" fillId="0" borderId="8" xfId="0" quotePrefix="1" applyNumberFormat="1" applyFont="1" applyBorder="1" applyAlignment="1">
      <alignment horizontal="center" vertical="center"/>
    </xf>
    <xf numFmtId="0" fontId="10" fillId="0" borderId="0" xfId="0" applyFont="1"/>
    <xf numFmtId="1" fontId="3" fillId="0" borderId="0" xfId="0" applyNumberFormat="1"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167" fontId="3" fillId="0" borderId="0" xfId="0" applyNumberFormat="1" applyFont="1" applyAlignment="1">
      <alignment horizontal="center" vertical="center"/>
    </xf>
    <xf numFmtId="1" fontId="3" fillId="0" borderId="8" xfId="0" applyNumberFormat="1" applyFont="1" applyBorder="1" applyAlignment="1">
      <alignment horizontal="center" vertical="center"/>
    </xf>
    <xf numFmtId="10" fontId="3" fillId="0" borderId="33" xfId="0" applyNumberFormat="1" applyFont="1" applyBorder="1" applyAlignment="1">
      <alignment horizontal="center"/>
    </xf>
    <xf numFmtId="0" fontId="3" fillId="0" borderId="38" xfId="0" applyFont="1" applyBorder="1" applyAlignment="1">
      <alignment vertical="center"/>
    </xf>
    <xf numFmtId="9" fontId="3" fillId="0" borderId="39" xfId="0" applyNumberFormat="1" applyFont="1" applyBorder="1" applyAlignment="1">
      <alignment horizontal="center"/>
    </xf>
    <xf numFmtId="1" fontId="3" fillId="0" borderId="40" xfId="0" applyNumberFormat="1" applyFont="1" applyBorder="1" applyAlignment="1">
      <alignment horizontal="center"/>
    </xf>
    <xf numFmtId="4" fontId="3" fillId="0" borderId="29" xfId="0" applyNumberFormat="1" applyFont="1" applyBorder="1" applyAlignment="1">
      <alignment horizontal="center"/>
    </xf>
    <xf numFmtId="4" fontId="3" fillId="0" borderId="30" xfId="0" applyNumberFormat="1" applyFont="1" applyBorder="1" applyAlignment="1">
      <alignment horizontal="center"/>
    </xf>
    <xf numFmtId="1" fontId="3" fillId="0" borderId="42" xfId="0" applyNumberFormat="1" applyFont="1" applyBorder="1" applyAlignment="1">
      <alignment horizontal="center" vertical="center"/>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7" fillId="4" borderId="8" xfId="0" applyFont="1" applyFill="1" applyBorder="1" applyAlignment="1">
      <alignment horizontal="center" vertical="center" wrapText="1"/>
    </xf>
    <xf numFmtId="167" fontId="3" fillId="0" borderId="9" xfId="0" quotePrefix="1" applyNumberFormat="1" applyFont="1" applyBorder="1" applyAlignment="1">
      <alignment horizontal="center"/>
    </xf>
    <xf numFmtId="3" fontId="3" fillId="0" borderId="11" xfId="0" quotePrefix="1" applyNumberFormat="1" applyFont="1" applyBorder="1" applyAlignment="1">
      <alignment horizontal="center"/>
    </xf>
    <xf numFmtId="167" fontId="3" fillId="0" borderId="22" xfId="0" quotePrefix="1" applyNumberFormat="1" applyFont="1" applyBorder="1" applyAlignment="1">
      <alignment horizontal="center"/>
    </xf>
    <xf numFmtId="3" fontId="3" fillId="0" borderId="23" xfId="0" quotePrefix="1" applyNumberFormat="1" applyFont="1" applyBorder="1" applyAlignment="1">
      <alignment horizontal="center"/>
    </xf>
    <xf numFmtId="2" fontId="3" fillId="0" borderId="37" xfId="0" applyNumberFormat="1" applyFont="1" applyBorder="1" applyAlignment="1">
      <alignment horizontal="center"/>
    </xf>
    <xf numFmtId="1" fontId="3" fillId="0" borderId="33" xfId="0" quotePrefix="1" applyNumberFormat="1" applyFont="1" applyBorder="1" applyAlignment="1">
      <alignment horizontal="center"/>
    </xf>
    <xf numFmtId="170" fontId="3" fillId="0" borderId="33" xfId="0" applyNumberFormat="1" applyFont="1" applyBorder="1" applyAlignment="1">
      <alignment horizontal="center"/>
    </xf>
    <xf numFmtId="171" fontId="3" fillId="0" borderId="33" xfId="0" applyNumberFormat="1" applyFont="1" applyBorder="1" applyAlignment="1">
      <alignment horizontal="center"/>
    </xf>
    <xf numFmtId="167" fontId="3" fillId="0" borderId="29" xfId="0" quotePrefix="1" applyNumberFormat="1" applyFont="1" applyBorder="1" applyAlignment="1">
      <alignment horizontal="center"/>
    </xf>
    <xf numFmtId="3" fontId="3" fillId="0" borderId="30" xfId="0" quotePrefix="1" applyNumberFormat="1" applyFont="1" applyBorder="1" applyAlignment="1">
      <alignment horizontal="center"/>
    </xf>
    <xf numFmtId="2" fontId="3" fillId="0" borderId="38" xfId="0" applyNumberFormat="1" applyFont="1" applyBorder="1" applyAlignment="1">
      <alignment horizontal="center"/>
    </xf>
    <xf numFmtId="0" fontId="3" fillId="0" borderId="0" xfId="0" applyFont="1" applyAlignment="1">
      <alignment wrapText="1"/>
    </xf>
    <xf numFmtId="0" fontId="3" fillId="2" borderId="0" xfId="0" applyFont="1" applyFill="1"/>
    <xf numFmtId="0" fontId="15" fillId="2" borderId="0" xfId="0" applyFont="1" applyFill="1"/>
    <xf numFmtId="0" fontId="6" fillId="2" borderId="0" xfId="0" applyFont="1" applyFill="1"/>
    <xf numFmtId="11" fontId="3" fillId="2" borderId="8" xfId="0" applyNumberFormat="1" applyFont="1" applyFill="1" applyBorder="1"/>
    <xf numFmtId="0" fontId="6" fillId="2" borderId="5" xfId="0" applyFont="1" applyFill="1" applyBorder="1" applyAlignment="1">
      <alignment wrapText="1"/>
    </xf>
    <xf numFmtId="0" fontId="3" fillId="2" borderId="8" xfId="0" applyFont="1" applyFill="1" applyBorder="1" applyAlignment="1">
      <alignment vertical="center"/>
    </xf>
    <xf numFmtId="0" fontId="3" fillId="2" borderId="8" xfId="0" applyFont="1" applyFill="1" applyBorder="1" applyAlignment="1">
      <alignment horizontal="left" vertical="center"/>
    </xf>
    <xf numFmtId="0" fontId="6" fillId="2" borderId="0" xfId="0" applyFont="1" applyFill="1" applyAlignment="1">
      <alignment wrapText="1"/>
    </xf>
    <xf numFmtId="0" fontId="3" fillId="2" borderId="0" xfId="0" applyFont="1" applyFill="1" applyAlignment="1">
      <alignment horizontal="center" vertical="top" wrapText="1"/>
    </xf>
    <xf numFmtId="0" fontId="3" fillId="2" borderId="0" xfId="0" applyFont="1" applyFill="1" applyAlignment="1">
      <alignment horizontal="center" vertical="center"/>
    </xf>
    <xf numFmtId="0" fontId="3" fillId="2" borderId="0" xfId="0" applyFont="1" applyFill="1" applyAlignment="1">
      <alignment vertical="center"/>
    </xf>
    <xf numFmtId="1" fontId="3" fillId="2" borderId="0" xfId="0" applyNumberFormat="1" applyFont="1" applyFill="1"/>
    <xf numFmtId="0" fontId="3" fillId="2" borderId="0" xfId="0" applyFont="1" applyFill="1" applyAlignment="1">
      <alignment horizontal="center"/>
    </xf>
    <xf numFmtId="0" fontId="6" fillId="2" borderId="0" xfId="0" applyFont="1" applyFill="1" applyAlignment="1">
      <alignment vertical="center" wrapText="1"/>
    </xf>
    <xf numFmtId="0" fontId="16" fillId="2" borderId="0" xfId="0" applyFont="1" applyFill="1" applyAlignment="1">
      <alignment horizontal="center" vertical="center" wrapText="1"/>
    </xf>
    <xf numFmtId="0" fontId="3" fillId="2" borderId="0" xfId="0" applyFont="1" applyFill="1" applyAlignment="1">
      <alignment horizontal="left" vertical="center"/>
    </xf>
    <xf numFmtId="0" fontId="3" fillId="2" borderId="5" xfId="0" applyFont="1" applyFill="1" applyBorder="1" applyAlignment="1">
      <alignment vertical="center"/>
    </xf>
    <xf numFmtId="0" fontId="17" fillId="2" borderId="0" xfId="0" applyFont="1" applyFill="1"/>
    <xf numFmtId="0" fontId="18" fillId="2" borderId="0" xfId="0" applyFont="1" applyFill="1"/>
    <xf numFmtId="0" fontId="19" fillId="2" borderId="0" xfId="0" applyFont="1" applyFill="1"/>
    <xf numFmtId="0" fontId="19" fillId="2" borderId="0" xfId="0" applyFont="1" applyFill="1" applyAlignment="1">
      <alignment horizontal="center" vertical="center"/>
    </xf>
    <xf numFmtId="0" fontId="7" fillId="0" borderId="0" xfId="0" applyFont="1" applyAlignment="1">
      <alignment horizontal="center" vertical="center" wrapText="1"/>
    </xf>
    <xf numFmtId="0" fontId="3" fillId="9" borderId="8" xfId="0" applyFont="1" applyFill="1" applyBorder="1"/>
    <xf numFmtId="11" fontId="3" fillId="2" borderId="0" xfId="0" applyNumberFormat="1" applyFont="1" applyFill="1"/>
    <xf numFmtId="0" fontId="7" fillId="2" borderId="0" xfId="0" applyFont="1" applyFill="1" applyAlignment="1">
      <alignment horizontal="center" vertical="center" wrapText="1"/>
    </xf>
    <xf numFmtId="0" fontId="6" fillId="4" borderId="41" xfId="0" applyFont="1" applyFill="1" applyBorder="1" applyAlignment="1">
      <alignment horizontal="center" vertical="center" wrapText="1"/>
    </xf>
    <xf numFmtId="4" fontId="3" fillId="0" borderId="35" xfId="0" applyNumberFormat="1" applyFont="1" applyBorder="1" applyAlignment="1">
      <alignment horizontal="center" vertical="center"/>
    </xf>
    <xf numFmtId="4" fontId="3" fillId="0" borderId="2" xfId="0" applyNumberFormat="1" applyFont="1" applyBorder="1" applyAlignment="1">
      <alignment horizontal="center"/>
    </xf>
    <xf numFmtId="4" fontId="3" fillId="0" borderId="41" xfId="0" applyNumberFormat="1" applyFont="1" applyBorder="1" applyAlignment="1">
      <alignment horizontal="center"/>
    </xf>
    <xf numFmtId="0" fontId="6" fillId="4" borderId="40" xfId="0" applyFont="1" applyFill="1" applyBorder="1" applyAlignment="1">
      <alignment horizontal="center" vertical="center" wrapText="1"/>
    </xf>
    <xf numFmtId="1" fontId="3" fillId="2" borderId="0" xfId="0" applyNumberFormat="1" applyFont="1" applyFill="1" applyAlignment="1">
      <alignment horizontal="center" vertical="center"/>
    </xf>
    <xf numFmtId="0" fontId="20" fillId="2" borderId="54" xfId="0" applyFont="1" applyFill="1" applyBorder="1" applyAlignment="1">
      <alignment vertical="center"/>
    </xf>
    <xf numFmtId="0" fontId="20" fillId="2" borderId="0" xfId="0" applyFont="1" applyFill="1" applyAlignment="1">
      <alignment vertical="center"/>
    </xf>
    <xf numFmtId="165" fontId="3" fillId="0" borderId="37" xfId="0" applyNumberFormat="1" applyFont="1" applyBorder="1" applyAlignment="1">
      <alignment horizontal="center"/>
    </xf>
    <xf numFmtId="0" fontId="3" fillId="2" borderId="2" xfId="0" applyFont="1" applyFill="1" applyBorder="1" applyAlignment="1">
      <alignment horizontal="center" vertical="center"/>
    </xf>
    <xf numFmtId="1" fontId="16" fillId="0" borderId="8"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2" borderId="8" xfId="0" applyNumberFormat="1" applyFont="1" applyFill="1" applyBorder="1" applyAlignment="1">
      <alignment horizontal="center" vertical="center"/>
    </xf>
    <xf numFmtId="0" fontId="16" fillId="0" borderId="8" xfId="0" applyFont="1" applyBorder="1" applyAlignment="1">
      <alignment horizontal="center" vertical="center" wrapText="1"/>
    </xf>
    <xf numFmtId="166" fontId="16" fillId="2" borderId="8" xfId="0" applyNumberFormat="1" applyFont="1" applyFill="1" applyBorder="1" applyAlignment="1">
      <alignment horizontal="center" vertical="center"/>
    </xf>
    <xf numFmtId="11" fontId="3" fillId="2" borderId="2" xfId="0" applyNumberFormat="1" applyFont="1" applyFill="1" applyBorder="1" applyAlignment="1">
      <alignment horizontal="center" vertical="center"/>
    </xf>
    <xf numFmtId="11" fontId="3" fillId="2" borderId="8" xfId="0" applyNumberFormat="1" applyFont="1" applyFill="1" applyBorder="1" applyAlignment="1">
      <alignment horizontal="center" vertical="center"/>
    </xf>
    <xf numFmtId="167" fontId="3" fillId="2" borderId="8" xfId="0" applyNumberFormat="1" applyFont="1" applyFill="1"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xf>
    <xf numFmtId="0" fontId="0" fillId="0" borderId="8" xfId="0" applyBorder="1"/>
    <xf numFmtId="11" fontId="0" fillId="0" borderId="8" xfId="0" applyNumberFormat="1" applyBorder="1"/>
    <xf numFmtId="0" fontId="3" fillId="0" borderId="33" xfId="0" applyFont="1" applyBorder="1"/>
    <xf numFmtId="0" fontId="3" fillId="0" borderId="39" xfId="0" applyFont="1" applyBorder="1"/>
    <xf numFmtId="167" fontId="0" fillId="0" borderId="0" xfId="0" applyNumberFormat="1"/>
    <xf numFmtId="2" fontId="0" fillId="0" borderId="0" xfId="0" applyNumberFormat="1"/>
    <xf numFmtId="0" fontId="1" fillId="0" borderId="0" xfId="0" applyFont="1"/>
    <xf numFmtId="0" fontId="1" fillId="0" borderId="8" xfId="0" applyFont="1" applyBorder="1"/>
    <xf numFmtId="0" fontId="1" fillId="0" borderId="8" xfId="0" applyFont="1" applyBorder="1" applyAlignment="1">
      <alignment horizontal="center"/>
    </xf>
    <xf numFmtId="0" fontId="0" fillId="0" borderId="8" xfId="0" applyBorder="1" applyAlignment="1">
      <alignment horizontal="center"/>
    </xf>
    <xf numFmtId="10" fontId="0" fillId="0" borderId="8" xfId="0" applyNumberFormat="1" applyBorder="1" applyAlignment="1">
      <alignment horizontal="center"/>
    </xf>
    <xf numFmtId="173" fontId="0" fillId="0" borderId="8" xfId="2" applyNumberFormat="1" applyFont="1" applyBorder="1" applyAlignment="1">
      <alignment horizontal="center"/>
    </xf>
    <xf numFmtId="0" fontId="1" fillId="10" borderId="16" xfId="0" applyFont="1" applyFill="1" applyBorder="1" applyAlignment="1">
      <alignment horizontal="center" wrapText="1"/>
    </xf>
    <xf numFmtId="0" fontId="1" fillId="10" borderId="36" xfId="0" applyFont="1" applyFill="1" applyBorder="1" applyAlignment="1">
      <alignment horizontal="center" wrapText="1"/>
    </xf>
    <xf numFmtId="0" fontId="1" fillId="10" borderId="17" xfId="0" applyFont="1" applyFill="1" applyBorder="1" applyAlignment="1">
      <alignment horizontal="center" wrapText="1"/>
    </xf>
    <xf numFmtId="0" fontId="0" fillId="0" borderId="22" xfId="0" applyBorder="1" applyAlignment="1">
      <alignment vertical="center"/>
    </xf>
    <xf numFmtId="171" fontId="0" fillId="0" borderId="8" xfId="3" applyNumberFormat="1" applyFont="1" applyBorder="1"/>
    <xf numFmtId="174" fontId="0" fillId="0" borderId="8" xfId="3" applyNumberFormat="1" applyFont="1" applyBorder="1"/>
    <xf numFmtId="170" fontId="0" fillId="0" borderId="23" xfId="0" applyNumberFormat="1" applyBorder="1"/>
    <xf numFmtId="0" fontId="0" fillId="0" borderId="29" xfId="0" applyBorder="1" applyAlignment="1">
      <alignment vertical="center"/>
    </xf>
    <xf numFmtId="0" fontId="0" fillId="0" borderId="42" xfId="0" applyBorder="1" applyAlignment="1">
      <alignment horizontal="center" vertical="center"/>
    </xf>
    <xf numFmtId="170" fontId="0" fillId="0" borderId="30" xfId="0" applyNumberFormat="1" applyBorder="1"/>
    <xf numFmtId="9" fontId="0" fillId="0" borderId="0" xfId="0" applyNumberFormat="1"/>
    <xf numFmtId="1" fontId="0" fillId="0" borderId="0" xfId="0" applyNumberFormat="1"/>
    <xf numFmtId="9" fontId="0" fillId="0" borderId="0" xfId="3" applyFont="1"/>
    <xf numFmtId="0" fontId="1" fillId="3" borderId="16" xfId="0" applyFont="1" applyFill="1" applyBorder="1"/>
    <xf numFmtId="0" fontId="1" fillId="3" borderId="17" xfId="0" applyFont="1" applyFill="1" applyBorder="1"/>
    <xf numFmtId="0" fontId="0" fillId="0" borderId="22" xfId="0" applyBorder="1" applyAlignment="1">
      <alignment horizontal="left" vertical="top"/>
    </xf>
    <xf numFmtId="0" fontId="0" fillId="0" borderId="23" xfId="0" applyBorder="1" applyAlignment="1">
      <alignment horizontal="left" vertical="top" wrapText="1"/>
    </xf>
    <xf numFmtId="0" fontId="0" fillId="0" borderId="29" xfId="0" applyBorder="1" applyAlignment="1">
      <alignment horizontal="left" vertical="top"/>
    </xf>
    <xf numFmtId="0" fontId="1" fillId="3" borderId="46" xfId="0" applyFont="1" applyFill="1" applyBorder="1" applyAlignment="1">
      <alignment horizontal="left" vertical="top"/>
    </xf>
    <xf numFmtId="0" fontId="0" fillId="3" borderId="48" xfId="0" applyFill="1" applyBorder="1"/>
    <xf numFmtId="0" fontId="0" fillId="0" borderId="9" xfId="0" applyBorder="1" applyAlignment="1">
      <alignment horizontal="left" vertical="top" wrapText="1"/>
    </xf>
    <xf numFmtId="0" fontId="0" fillId="0" borderId="11" xfId="0" applyBorder="1" applyAlignment="1">
      <alignment horizontal="left" vertical="top" wrapText="1"/>
    </xf>
    <xf numFmtId="0" fontId="1" fillId="4" borderId="61"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 fillId="4" borderId="37" xfId="0" applyFont="1" applyFill="1" applyBorder="1" applyAlignment="1">
      <alignment horizontal="left" wrapText="1"/>
    </xf>
    <xf numFmtId="0" fontId="0" fillId="2" borderId="9" xfId="0" applyFill="1" applyBorder="1" applyAlignment="1">
      <alignment horizontal="center"/>
    </xf>
    <xf numFmtId="167" fontId="0" fillId="2" borderId="10" xfId="0" applyNumberFormat="1" applyFill="1" applyBorder="1" applyAlignment="1">
      <alignment horizontal="center"/>
    </xf>
    <xf numFmtId="0" fontId="0" fillId="2" borderId="11" xfId="0" applyFill="1" applyBorder="1"/>
    <xf numFmtId="0" fontId="0" fillId="2" borderId="37" xfId="0" applyFill="1" applyBorder="1" applyAlignment="1">
      <alignment horizontal="center"/>
    </xf>
    <xf numFmtId="0" fontId="0" fillId="2" borderId="8" xfId="0" applyFill="1" applyBorder="1" applyAlignment="1">
      <alignment horizontal="center"/>
    </xf>
    <xf numFmtId="0" fontId="0" fillId="2" borderId="23" xfId="0" applyFill="1" applyBorder="1"/>
    <xf numFmtId="3" fontId="0" fillId="0" borderId="22" xfId="0" applyNumberFormat="1" applyBorder="1" applyAlignment="1">
      <alignment horizontal="center" vertical="center"/>
    </xf>
    <xf numFmtId="1" fontId="0" fillId="2" borderId="8" xfId="0" applyNumberFormat="1" applyFill="1" applyBorder="1" applyAlignment="1">
      <alignment horizontal="center"/>
    </xf>
    <xf numFmtId="0" fontId="0" fillId="2" borderId="22" xfId="0" applyFill="1" applyBorder="1" applyAlignment="1">
      <alignment horizontal="center"/>
    </xf>
    <xf numFmtId="0" fontId="1" fillId="4" borderId="38" xfId="0" applyFont="1" applyFill="1" applyBorder="1" applyAlignment="1">
      <alignment horizontal="left" wrapText="1"/>
    </xf>
    <xf numFmtId="0" fontId="0" fillId="2" borderId="29" xfId="0" applyFill="1" applyBorder="1" applyAlignment="1">
      <alignment horizontal="center"/>
    </xf>
    <xf numFmtId="0" fontId="0" fillId="2" borderId="42" xfId="0" applyFill="1" applyBorder="1" applyAlignment="1">
      <alignment horizontal="center"/>
    </xf>
    <xf numFmtId="0" fontId="0" fillId="2" borderId="30" xfId="0" applyFill="1" applyBorder="1"/>
    <xf numFmtId="0" fontId="1" fillId="2" borderId="0" xfId="0" applyFont="1" applyFill="1"/>
    <xf numFmtId="0" fontId="23" fillId="2" borderId="0" xfId="0" applyFont="1" applyFill="1"/>
    <xf numFmtId="0" fontId="24" fillId="0" borderId="0" xfId="1" applyFont="1"/>
    <xf numFmtId="0" fontId="5" fillId="0" borderId="0" xfId="1"/>
    <xf numFmtId="0" fontId="5" fillId="0" borderId="0" xfId="1" applyAlignment="1">
      <alignment horizontal="center"/>
    </xf>
    <xf numFmtId="0" fontId="25" fillId="11" borderId="62" xfId="1" applyFont="1" applyFill="1" applyBorder="1" applyAlignment="1">
      <alignment horizontal="center" vertical="center" wrapText="1"/>
    </xf>
    <xf numFmtId="0" fontId="25" fillId="11" borderId="63" xfId="1" applyFont="1" applyFill="1" applyBorder="1" applyAlignment="1">
      <alignment horizontal="center" vertical="center" wrapText="1"/>
    </xf>
    <xf numFmtId="0" fontId="26" fillId="0" borderId="43" xfId="1" applyFont="1" applyBorder="1" applyAlignment="1">
      <alignment vertical="center" wrapText="1"/>
    </xf>
    <xf numFmtId="0" fontId="26" fillId="0" borderId="61" xfId="1" applyFont="1" applyBorder="1" applyAlignment="1">
      <alignment horizontal="center" vertical="center" wrapText="1"/>
    </xf>
    <xf numFmtId="0" fontId="26" fillId="0" borderId="45" xfId="1" applyFont="1" applyBorder="1" applyAlignment="1">
      <alignment vertical="center" wrapText="1"/>
    </xf>
    <xf numFmtId="0" fontId="26" fillId="0" borderId="61" xfId="1" applyFont="1" applyBorder="1" applyAlignment="1">
      <alignment vertical="center"/>
    </xf>
    <xf numFmtId="0" fontId="26" fillId="0" borderId="64" xfId="1" applyFont="1" applyBorder="1" applyAlignment="1">
      <alignment vertical="center" wrapText="1"/>
    </xf>
    <xf numFmtId="0" fontId="26" fillId="0" borderId="65" xfId="1" applyFont="1" applyBorder="1" applyAlignment="1">
      <alignment horizontal="center" vertical="center" wrapText="1"/>
    </xf>
    <xf numFmtId="0" fontId="26" fillId="0" borderId="25" xfId="1" applyFont="1" applyBorder="1" applyAlignment="1">
      <alignment vertical="center" wrapText="1"/>
    </xf>
    <xf numFmtId="0" fontId="26" fillId="0" borderId="64" xfId="1" applyFont="1" applyBorder="1" applyAlignment="1">
      <alignment horizontal="center" vertical="center" wrapText="1"/>
    </xf>
    <xf numFmtId="0" fontId="26" fillId="0" borderId="65" xfId="1" applyFont="1" applyBorder="1" applyAlignment="1">
      <alignment vertical="center" wrapText="1"/>
    </xf>
    <xf numFmtId="2" fontId="16" fillId="0" borderId="0" xfId="1" applyNumberFormat="1" applyFont="1" applyAlignment="1">
      <alignment horizontal="center"/>
    </xf>
    <xf numFmtId="0" fontId="26" fillId="0" borderId="66" xfId="1" applyFont="1" applyBorder="1" applyAlignment="1">
      <alignment horizontal="center" vertical="center" wrapText="1"/>
    </xf>
    <xf numFmtId="0" fontId="26" fillId="0" borderId="48" xfId="1" applyFont="1" applyBorder="1" applyAlignment="1">
      <alignment vertical="center" wrapText="1"/>
    </xf>
    <xf numFmtId="1" fontId="26" fillId="0" borderId="27" xfId="1" applyNumberFormat="1" applyFont="1" applyBorder="1" applyAlignment="1">
      <alignment horizontal="center" vertical="center" wrapText="1"/>
    </xf>
    <xf numFmtId="0" fontId="26" fillId="0" borderId="28" xfId="1" applyFont="1" applyBorder="1" applyAlignment="1">
      <alignment vertical="center" wrapText="1"/>
    </xf>
    <xf numFmtId="3" fontId="26" fillId="0" borderId="65" xfId="1" applyNumberFormat="1" applyFont="1" applyBorder="1" applyAlignment="1">
      <alignment horizontal="center" vertical="center" wrapText="1"/>
    </xf>
    <xf numFmtId="172" fontId="26" fillId="0" borderId="65" xfId="1" applyNumberFormat="1" applyFont="1" applyBorder="1" applyAlignment="1">
      <alignment horizontal="center" vertical="center" wrapText="1"/>
    </xf>
    <xf numFmtId="0" fontId="0" fillId="0" borderId="0" xfId="0" applyAlignment="1">
      <alignment vertical="center"/>
    </xf>
    <xf numFmtId="0" fontId="27" fillId="0" borderId="0" xfId="0" applyFont="1" applyAlignment="1">
      <alignment vertical="center"/>
    </xf>
    <xf numFmtId="0" fontId="0" fillId="0" borderId="0" xfId="0" applyAlignment="1">
      <alignment horizontal="left" vertical="center"/>
    </xf>
    <xf numFmtId="4" fontId="3" fillId="0" borderId="6" xfId="0" applyNumberFormat="1" applyFont="1" applyBorder="1" applyAlignment="1">
      <alignment horizontal="center" vertical="center"/>
    </xf>
    <xf numFmtId="4" fontId="3" fillId="0" borderId="29" xfId="0" applyNumberFormat="1" applyFont="1" applyBorder="1" applyAlignment="1">
      <alignment horizontal="center" vertical="center"/>
    </xf>
    <xf numFmtId="4" fontId="3" fillId="0" borderId="30" xfId="0" applyNumberFormat="1" applyFont="1" applyBorder="1" applyAlignment="1">
      <alignment horizontal="center" vertical="center"/>
    </xf>
    <xf numFmtId="4" fontId="3" fillId="0" borderId="40" xfId="0" applyNumberFormat="1" applyFont="1" applyBorder="1" applyAlignment="1">
      <alignment horizontal="center" vertical="center"/>
    </xf>
    <xf numFmtId="1" fontId="3" fillId="0" borderId="10" xfId="0" applyNumberFormat="1" applyFont="1" applyBorder="1" applyAlignment="1">
      <alignment horizontal="center" vertical="center"/>
    </xf>
    <xf numFmtId="0" fontId="1" fillId="0" borderId="0" xfId="0" applyFont="1" applyAlignment="1">
      <alignment horizontal="center" wrapText="1"/>
    </xf>
    <xf numFmtId="0" fontId="0" fillId="0" borderId="0" xfId="0" applyAlignment="1">
      <alignment horizontal="center" wrapText="1"/>
    </xf>
    <xf numFmtId="0" fontId="1" fillId="10" borderId="67" xfId="0" applyFont="1" applyFill="1" applyBorder="1" applyAlignment="1">
      <alignment horizontal="center" wrapText="1"/>
    </xf>
    <xf numFmtId="0" fontId="0" fillId="0" borderId="2" xfId="0" applyBorder="1" applyAlignment="1">
      <alignment horizontal="center" vertical="center"/>
    </xf>
    <xf numFmtId="0" fontId="0" fillId="0" borderId="22" xfId="0" applyBorder="1" applyAlignment="1">
      <alignment horizontal="center" vertical="center"/>
    </xf>
    <xf numFmtId="170" fontId="0" fillId="0" borderId="8" xfId="0" applyNumberFormat="1" applyBorder="1" applyAlignment="1">
      <alignment horizontal="center"/>
    </xf>
    <xf numFmtId="169" fontId="0" fillId="0" borderId="8" xfId="0" applyNumberFormat="1" applyBorder="1" applyAlignment="1">
      <alignment horizontal="center"/>
    </xf>
    <xf numFmtId="170" fontId="0" fillId="0" borderId="23" xfId="0" applyNumberFormat="1" applyBorder="1" applyAlignment="1">
      <alignment horizontal="center"/>
    </xf>
    <xf numFmtId="9" fontId="0" fillId="0" borderId="22" xfId="0" applyNumberFormat="1" applyBorder="1" applyAlignment="1">
      <alignment horizontal="center"/>
    </xf>
    <xf numFmtId="170" fontId="0" fillId="5" borderId="22" xfId="0" applyNumberFormat="1" applyFill="1" applyBorder="1" applyAlignment="1">
      <alignment horizontal="center"/>
    </xf>
    <xf numFmtId="170" fontId="0" fillId="5" borderId="3" xfId="0" applyNumberFormat="1" applyFill="1" applyBorder="1" applyAlignment="1">
      <alignment horizontal="center"/>
    </xf>
    <xf numFmtId="9" fontId="0" fillId="5" borderId="23" xfId="0" applyNumberFormat="1" applyFill="1" applyBorder="1" applyAlignment="1">
      <alignment horizontal="center"/>
    </xf>
    <xf numFmtId="0" fontId="0" fillId="0" borderId="50" xfId="0" applyBorder="1"/>
    <xf numFmtId="9" fontId="0" fillId="0" borderId="8" xfId="0" applyNumberFormat="1" applyBorder="1" applyAlignment="1">
      <alignment horizontal="center"/>
    </xf>
    <xf numFmtId="170" fontId="0" fillId="0" borderId="22" xfId="0" applyNumberFormat="1" applyBorder="1" applyAlignment="1">
      <alignment horizontal="center"/>
    </xf>
    <xf numFmtId="170" fontId="0" fillId="0" borderId="3" xfId="0" applyNumberFormat="1" applyBorder="1" applyAlignment="1">
      <alignment horizontal="center"/>
    </xf>
    <xf numFmtId="174" fontId="0" fillId="0" borderId="23" xfId="0" applyNumberFormat="1" applyBorder="1" applyAlignment="1">
      <alignment horizontal="center"/>
    </xf>
    <xf numFmtId="171" fontId="0" fillId="0" borderId="8" xfId="0" applyNumberFormat="1" applyBorder="1" applyAlignment="1">
      <alignment horizontal="center"/>
    </xf>
    <xf numFmtId="10" fontId="0" fillId="0" borderId="22" xfId="0" applyNumberFormat="1" applyBorder="1" applyAlignment="1">
      <alignment horizontal="center"/>
    </xf>
    <xf numFmtId="171" fontId="0" fillId="0" borderId="23" xfId="0" applyNumberFormat="1" applyBorder="1" applyAlignment="1">
      <alignment horizontal="center"/>
    </xf>
    <xf numFmtId="0" fontId="28" fillId="0" borderId="50" xfId="4" applyBorder="1"/>
    <xf numFmtId="171" fontId="0" fillId="0" borderId="22" xfId="0" applyNumberFormat="1" applyBorder="1" applyAlignment="1">
      <alignment horizontal="center"/>
    </xf>
    <xf numFmtId="0" fontId="0" fillId="0" borderId="41" xfId="0" applyBorder="1" applyAlignment="1">
      <alignment horizontal="center" vertical="center"/>
    </xf>
    <xf numFmtId="9" fontId="0" fillId="0" borderId="29" xfId="0" applyNumberFormat="1" applyBorder="1" applyAlignment="1">
      <alignment horizontal="center" vertical="center"/>
    </xf>
    <xf numFmtId="9" fontId="0" fillId="0" borderId="42" xfId="0" applyNumberFormat="1" applyBorder="1" applyAlignment="1">
      <alignment horizontal="center"/>
    </xf>
    <xf numFmtId="169" fontId="0" fillId="0" borderId="42" xfId="0" applyNumberFormat="1" applyBorder="1" applyAlignment="1">
      <alignment horizontal="center"/>
    </xf>
    <xf numFmtId="170" fontId="0" fillId="0" borderId="30" xfId="0" applyNumberFormat="1" applyBorder="1" applyAlignment="1">
      <alignment horizontal="center"/>
    </xf>
    <xf numFmtId="9" fontId="0" fillId="0" borderId="29" xfId="0" applyNumberFormat="1" applyBorder="1" applyAlignment="1">
      <alignment horizontal="center"/>
    </xf>
    <xf numFmtId="170" fontId="0" fillId="0" borderId="42" xfId="0" applyNumberFormat="1" applyBorder="1" applyAlignment="1">
      <alignment horizontal="center"/>
    </xf>
    <xf numFmtId="170" fontId="0" fillId="0" borderId="29" xfId="0" applyNumberFormat="1" applyBorder="1" applyAlignment="1">
      <alignment horizontal="center"/>
    </xf>
    <xf numFmtId="170" fontId="0" fillId="0" borderId="40" xfId="0" applyNumberFormat="1" applyBorder="1" applyAlignment="1">
      <alignment horizontal="center"/>
    </xf>
    <xf numFmtId="10" fontId="0" fillId="0" borderId="30" xfId="0" applyNumberFormat="1" applyBorder="1" applyAlignment="1">
      <alignment horizontal="center"/>
    </xf>
    <xf numFmtId="0" fontId="0" fillId="0" borderId="53" xfId="0" applyBorder="1"/>
    <xf numFmtId="0" fontId="1" fillId="0" borderId="29" xfId="0" applyFont="1" applyBorder="1" applyAlignment="1">
      <alignment horizontal="center" vertical="center"/>
    </xf>
    <xf numFmtId="9" fontId="1" fillId="0" borderId="42" xfId="0" applyNumberFormat="1" applyFont="1" applyBorder="1" applyAlignment="1">
      <alignment horizontal="center"/>
    </xf>
    <xf numFmtId="2" fontId="1" fillId="0" borderId="42" xfId="0" applyNumberFormat="1" applyFont="1" applyBorder="1" applyAlignment="1">
      <alignment horizontal="center"/>
    </xf>
    <xf numFmtId="9" fontId="1" fillId="0" borderId="30" xfId="0" applyNumberFormat="1" applyFont="1" applyBorder="1" applyAlignment="1">
      <alignment horizontal="center"/>
    </xf>
    <xf numFmtId="9" fontId="1" fillId="0" borderId="0" xfId="0" applyNumberFormat="1" applyFont="1" applyAlignment="1">
      <alignment horizontal="center"/>
    </xf>
    <xf numFmtId="9" fontId="1" fillId="0" borderId="28" xfId="0" applyNumberFormat="1" applyFont="1" applyBorder="1" applyAlignment="1">
      <alignment horizontal="center"/>
    </xf>
    <xf numFmtId="0" fontId="29" fillId="0" borderId="0" xfId="0" applyFont="1"/>
    <xf numFmtId="0" fontId="29" fillId="0" borderId="0" xfId="0" applyFont="1" applyAlignment="1">
      <alignment vertical="center"/>
    </xf>
    <xf numFmtId="174" fontId="3" fillId="0" borderId="33" xfId="0" applyNumberFormat="1" applyFont="1" applyBorder="1" applyAlignment="1">
      <alignment horizontal="center"/>
    </xf>
    <xf numFmtId="10" fontId="3" fillId="0" borderId="39" xfId="0" applyNumberFormat="1" applyFont="1" applyBorder="1" applyAlignment="1">
      <alignment horizontal="center"/>
    </xf>
    <xf numFmtId="170" fontId="3" fillId="0" borderId="39" xfId="0" applyNumberFormat="1" applyFont="1" applyBorder="1" applyAlignment="1">
      <alignment horizontal="center"/>
    </xf>
    <xf numFmtId="0" fontId="0" fillId="0" borderId="49" xfId="0" applyBorder="1" applyAlignment="1">
      <alignment horizontal="center" vertical="center"/>
    </xf>
    <xf numFmtId="171" fontId="0" fillId="0" borderId="49" xfId="3" applyNumberFormat="1" applyFont="1" applyBorder="1"/>
    <xf numFmtId="11" fontId="0" fillId="0" borderId="49" xfId="0" applyNumberFormat="1" applyBorder="1"/>
    <xf numFmtId="0" fontId="1" fillId="0" borderId="46" xfId="0" applyFont="1" applyBorder="1"/>
    <xf numFmtId="9" fontId="1" fillId="0" borderId="47" xfId="0" applyNumberFormat="1" applyFont="1" applyBorder="1"/>
    <xf numFmtId="1" fontId="1" fillId="0" borderId="47" xfId="0" applyNumberFormat="1" applyFont="1" applyBorder="1"/>
    <xf numFmtId="2" fontId="1" fillId="0" borderId="47" xfId="0" applyNumberFormat="1" applyFont="1" applyBorder="1"/>
    <xf numFmtId="167" fontId="1" fillId="0" borderId="47" xfId="0" applyNumberFormat="1" applyFont="1" applyBorder="1"/>
    <xf numFmtId="9" fontId="1" fillId="0" borderId="48" xfId="3" applyFont="1" applyBorder="1"/>
    <xf numFmtId="0" fontId="6" fillId="4" borderId="43" xfId="0" applyFont="1" applyFill="1" applyBorder="1"/>
    <xf numFmtId="0" fontId="6" fillId="4" borderId="45" xfId="0" applyFont="1" applyFill="1" applyBorder="1"/>
    <xf numFmtId="0" fontId="0" fillId="0" borderId="0" xfId="0" applyAlignment="1">
      <alignment horizontal="left" vertical="top"/>
    </xf>
    <xf numFmtId="0" fontId="0" fillId="0" borderId="0" xfId="0" applyAlignment="1">
      <alignment horizontal="left" vertical="top" wrapText="1"/>
    </xf>
    <xf numFmtId="0" fontId="1" fillId="10" borderId="46" xfId="0" applyFont="1" applyFill="1" applyBorder="1"/>
    <xf numFmtId="0" fontId="1" fillId="10" borderId="47" xfId="0" applyFont="1" applyFill="1" applyBorder="1"/>
    <xf numFmtId="0" fontId="1" fillId="10" borderId="48" xfId="0" applyFont="1" applyFill="1" applyBorder="1"/>
    <xf numFmtId="0" fontId="0" fillId="0" borderId="23" xfId="0" applyBorder="1"/>
    <xf numFmtId="0" fontId="0" fillId="0" borderId="42" xfId="0" applyBorder="1" applyAlignment="1">
      <alignment vertical="center"/>
    </xf>
    <xf numFmtId="0" fontId="0" fillId="0" borderId="30" xfId="0" applyBorder="1"/>
    <xf numFmtId="9" fontId="0" fillId="0" borderId="0" xfId="0" applyNumberFormat="1" applyAlignment="1">
      <alignment horizontal="center" vertical="center" wrapText="1"/>
    </xf>
    <xf numFmtId="171" fontId="0" fillId="0" borderId="0" xfId="0" applyNumberFormat="1" applyAlignment="1">
      <alignment horizontal="center" vertical="center" wrapText="1"/>
    </xf>
    <xf numFmtId="174" fontId="0" fillId="0" borderId="0" xfId="0" applyNumberFormat="1" applyAlignment="1">
      <alignment horizontal="center" vertical="center" wrapText="1"/>
    </xf>
    <xf numFmtId="0" fontId="1" fillId="10" borderId="47"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vertical="center"/>
    </xf>
    <xf numFmtId="10" fontId="0" fillId="0" borderId="3" xfId="0" applyNumberFormat="1" applyBorder="1" applyAlignment="1">
      <alignment horizontal="center" vertical="center" wrapText="1"/>
    </xf>
    <xf numFmtId="170" fontId="0" fillId="0" borderId="3" xfId="0" applyNumberFormat="1" applyBorder="1" applyAlignment="1">
      <alignment horizontal="center" vertical="center" wrapText="1"/>
    </xf>
    <xf numFmtId="171" fontId="0" fillId="0" borderId="3" xfId="0" applyNumberFormat="1" applyBorder="1" applyAlignment="1">
      <alignment horizontal="center" vertical="center" wrapText="1"/>
    </xf>
    <xf numFmtId="174" fontId="0" fillId="0" borderId="8" xfId="0" applyNumberFormat="1" applyBorder="1" applyAlignment="1">
      <alignment horizontal="center" vertical="center" wrapText="1"/>
    </xf>
    <xf numFmtId="171" fontId="0" fillId="0" borderId="8" xfId="0" applyNumberFormat="1" applyBorder="1" applyAlignment="1">
      <alignment horizontal="center" vertical="center" wrapText="1"/>
    </xf>
    <xf numFmtId="0" fontId="0" fillId="0" borderId="41" xfId="0" applyBorder="1" applyAlignment="1">
      <alignment vertical="center"/>
    </xf>
    <xf numFmtId="9" fontId="0" fillId="0" borderId="40" xfId="0" applyNumberFormat="1" applyBorder="1" applyAlignment="1">
      <alignment horizontal="center" vertical="center" wrapText="1"/>
    </xf>
    <xf numFmtId="0" fontId="0" fillId="0" borderId="9"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174" fontId="0" fillId="0" borderId="10" xfId="0" applyNumberFormat="1" applyBorder="1" applyAlignment="1">
      <alignment horizontal="center" vertical="center" wrapText="1"/>
    </xf>
    <xf numFmtId="9" fontId="0" fillId="0" borderId="7" xfId="0" applyNumberFormat="1" applyBorder="1" applyAlignment="1">
      <alignment horizontal="center" vertical="center" wrapText="1"/>
    </xf>
    <xf numFmtId="0" fontId="0" fillId="0" borderId="11" xfId="0" applyBorder="1"/>
    <xf numFmtId="10" fontId="0" fillId="0" borderId="42" xfId="0" applyNumberFormat="1" applyBorder="1" applyAlignment="1">
      <alignment horizontal="center" vertical="center" wrapText="1"/>
    </xf>
    <xf numFmtId="10" fontId="3" fillId="0" borderId="26" xfId="0" quotePrefix="1" applyNumberFormat="1" applyFont="1" applyBorder="1" applyAlignment="1">
      <alignment horizontal="center"/>
    </xf>
    <xf numFmtId="0" fontId="0" fillId="0" borderId="59" xfId="0" applyBorder="1" applyAlignment="1">
      <alignment horizontal="left" vertical="top"/>
    </xf>
    <xf numFmtId="0" fontId="0" fillId="0" borderId="28" xfId="0" applyBorder="1" applyAlignment="1">
      <alignment horizontal="left" vertical="top" wrapText="1"/>
    </xf>
    <xf numFmtId="0" fontId="29" fillId="12" borderId="0" xfId="0" applyFont="1" applyFill="1"/>
    <xf numFmtId="0" fontId="3" fillId="12" borderId="0" xfId="0" applyFont="1" applyFill="1" applyAlignment="1">
      <alignment horizontal="center"/>
    </xf>
    <xf numFmtId="0" fontId="3" fillId="12" borderId="0" xfId="0" applyFont="1" applyFill="1"/>
    <xf numFmtId="0" fontId="29" fillId="12" borderId="0" xfId="0" applyFont="1" applyFill="1" applyAlignment="1">
      <alignment vertical="center"/>
    </xf>
    <xf numFmtId="0" fontId="16" fillId="0" borderId="64" xfId="0" applyFont="1" applyBorder="1" applyAlignment="1">
      <alignment vertical="center" wrapText="1"/>
    </xf>
    <xf numFmtId="0" fontId="16" fillId="0" borderId="65" xfId="0" applyFont="1" applyBorder="1" applyAlignment="1">
      <alignment horizontal="center" vertical="center" wrapText="1"/>
    </xf>
    <xf numFmtId="3" fontId="9" fillId="0" borderId="61" xfId="0" applyNumberFormat="1" applyFont="1" applyBorder="1" applyAlignment="1">
      <alignment horizontal="center" vertical="center"/>
    </xf>
    <xf numFmtId="0" fontId="16" fillId="0" borderId="65" xfId="0" applyFont="1" applyBorder="1" applyAlignment="1">
      <alignment vertical="center" wrapText="1"/>
    </xf>
    <xf numFmtId="3" fontId="9" fillId="0" borderId="64" xfId="0" applyNumberFormat="1" applyFont="1" applyBorder="1" applyAlignment="1">
      <alignment horizontal="center" vertical="center"/>
    </xf>
    <xf numFmtId="0" fontId="9" fillId="0" borderId="61" xfId="0" applyFont="1" applyBorder="1" applyAlignment="1">
      <alignment horizontal="center" vertical="center"/>
    </xf>
    <xf numFmtId="9" fontId="3" fillId="0" borderId="33" xfId="0" quotePrefix="1" applyNumberFormat="1" applyFont="1" applyBorder="1" applyAlignment="1">
      <alignment horizontal="center"/>
    </xf>
    <xf numFmtId="11" fontId="16" fillId="0" borderId="8" xfId="0" applyNumberFormat="1" applyFont="1" applyBorder="1" applyAlignment="1">
      <alignment horizontal="center" vertical="center" wrapText="1"/>
    </xf>
    <xf numFmtId="0" fontId="7" fillId="8" borderId="30" xfId="0" applyFont="1" applyFill="1" applyBorder="1" applyAlignment="1">
      <alignment horizontal="center" vertical="center" wrapText="1"/>
    </xf>
    <xf numFmtId="0" fontId="6"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6" fillId="2" borderId="0" xfId="0" applyFont="1" applyFill="1" applyAlignment="1">
      <alignment horizontal="left" vertical="center" wrapText="1"/>
    </xf>
    <xf numFmtId="0" fontId="0" fillId="0" borderId="33" xfId="0" applyBorder="1"/>
    <xf numFmtId="0" fontId="0" fillId="0" borderId="39" xfId="0" applyBorder="1"/>
    <xf numFmtId="0" fontId="1" fillId="0" borderId="60" xfId="0" applyFont="1" applyBorder="1"/>
    <xf numFmtId="0" fontId="1" fillId="0" borderId="13" xfId="0" applyFont="1" applyBorder="1"/>
    <xf numFmtId="0" fontId="3" fillId="2" borderId="36" xfId="0" applyFont="1" applyFill="1" applyBorder="1" applyAlignment="1">
      <alignment horizontal="center" vertical="center" wrapText="1"/>
    </xf>
    <xf numFmtId="2" fontId="16" fillId="0" borderId="34" xfId="0" applyNumberFormat="1" applyFont="1" applyBorder="1" applyAlignment="1">
      <alignment horizontal="center" vertical="center"/>
    </xf>
    <xf numFmtId="2" fontId="16" fillId="0" borderId="36" xfId="0" applyNumberFormat="1" applyFont="1" applyBorder="1" applyAlignment="1">
      <alignment horizontal="center" vertical="center"/>
    </xf>
    <xf numFmtId="2" fontId="16" fillId="0" borderId="17" xfId="0" applyNumberFormat="1" applyFont="1" applyBorder="1" applyAlignment="1">
      <alignment horizontal="center" vertical="center"/>
    </xf>
    <xf numFmtId="2" fontId="16" fillId="0" borderId="27" xfId="0" applyNumberFormat="1" applyFont="1" applyBorder="1" applyAlignment="1">
      <alignment horizontal="center" vertical="center"/>
    </xf>
    <xf numFmtId="2" fontId="16" fillId="0" borderId="7" xfId="0" applyNumberFormat="1" applyFont="1" applyBorder="1" applyAlignment="1">
      <alignment horizontal="center" vertical="center"/>
    </xf>
    <xf numFmtId="2" fontId="16" fillId="0" borderId="10" xfId="0" applyNumberFormat="1" applyFont="1" applyBorder="1" applyAlignment="1">
      <alignment horizontal="center" vertical="center"/>
    </xf>
    <xf numFmtId="2" fontId="16" fillId="0" borderId="11" xfId="0" applyNumberFormat="1" applyFont="1" applyBorder="1" applyAlignment="1">
      <alignment horizontal="center" vertical="center"/>
    </xf>
    <xf numFmtId="2" fontId="16" fillId="0" borderId="65" xfId="0" applyNumberFormat="1" applyFont="1" applyBorder="1" applyAlignment="1">
      <alignment horizontal="center" vertical="center"/>
    </xf>
    <xf numFmtId="11" fontId="16" fillId="0" borderId="16" xfId="0" applyNumberFormat="1" applyFont="1" applyBorder="1" applyAlignment="1">
      <alignment horizontal="center" vertical="center"/>
    </xf>
    <xf numFmtId="11" fontId="16" fillId="0" borderId="36" xfId="0" applyNumberFormat="1" applyFont="1" applyBorder="1" applyAlignment="1">
      <alignment horizontal="center" vertical="center"/>
    </xf>
    <xf numFmtId="11" fontId="16" fillId="0" borderId="17" xfId="0" applyNumberFormat="1" applyFont="1" applyBorder="1" applyAlignment="1">
      <alignment horizontal="center" vertical="center"/>
    </xf>
    <xf numFmtId="11" fontId="16" fillId="0" borderId="59" xfId="0" applyNumberFormat="1" applyFont="1" applyBorder="1" applyAlignment="1">
      <alignment horizontal="center" vertical="center"/>
    </xf>
    <xf numFmtId="11" fontId="16" fillId="0" borderId="31" xfId="0" applyNumberFormat="1" applyFont="1" applyBorder="1" applyAlignment="1">
      <alignment horizontal="center" vertical="center"/>
    </xf>
    <xf numFmtId="11" fontId="16" fillId="0" borderId="28" xfId="0" applyNumberFormat="1" applyFont="1" applyBorder="1" applyAlignment="1">
      <alignment horizontal="center" vertical="center"/>
    </xf>
    <xf numFmtId="1" fontId="11" fillId="0" borderId="33" xfId="0" applyNumberFormat="1" applyFont="1" applyBorder="1" applyAlignment="1">
      <alignment horizontal="left" vertical="center" wrapText="1"/>
    </xf>
    <xf numFmtId="1" fontId="11" fillId="0" borderId="39" xfId="0" applyNumberFormat="1" applyFont="1" applyBorder="1" applyAlignment="1">
      <alignment horizontal="left" vertical="center" wrapText="1"/>
    </xf>
    <xf numFmtId="165" fontId="16" fillId="2" borderId="10" xfId="0" applyNumberFormat="1" applyFont="1" applyFill="1" applyBorder="1" applyAlignment="1">
      <alignment horizontal="center" vertical="center"/>
    </xf>
    <xf numFmtId="0" fontId="33" fillId="2" borderId="0" xfId="0" applyFont="1" applyFill="1"/>
    <xf numFmtId="0" fontId="11" fillId="8" borderId="42"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3" fillId="2" borderId="49" xfId="0" applyFont="1" applyFill="1" applyBorder="1" applyAlignment="1">
      <alignment horizontal="center" vertical="center" wrapText="1"/>
    </xf>
    <xf numFmtId="2" fontId="16" fillId="0" borderId="42" xfId="0" applyNumberFormat="1" applyFont="1" applyBorder="1" applyAlignment="1">
      <alignment horizontal="center" vertical="center"/>
    </xf>
    <xf numFmtId="2" fontId="16" fillId="0" borderId="30" xfId="0" applyNumberFormat="1" applyFont="1" applyBorder="1" applyAlignment="1">
      <alignment horizontal="center" vertical="center"/>
    </xf>
    <xf numFmtId="2" fontId="16" fillId="0" borderId="49" xfId="0" applyNumberFormat="1" applyFont="1" applyBorder="1" applyAlignment="1">
      <alignment horizontal="center" vertical="center"/>
    </xf>
    <xf numFmtId="2" fontId="16" fillId="0" borderId="69" xfId="0" applyNumberFormat="1" applyFont="1" applyBorder="1" applyAlignment="1">
      <alignment horizontal="center" vertical="center"/>
    </xf>
    <xf numFmtId="0" fontId="15" fillId="8" borderId="60" xfId="0" applyFont="1" applyFill="1" applyBorder="1"/>
    <xf numFmtId="0" fontId="32" fillId="2" borderId="39" xfId="0" applyFont="1" applyFill="1" applyBorder="1"/>
    <xf numFmtId="11" fontId="31" fillId="2" borderId="0" xfId="0" applyNumberFormat="1" applyFont="1" applyFill="1"/>
    <xf numFmtId="0" fontId="10" fillId="2" borderId="0" xfId="0" applyFont="1" applyFill="1" applyAlignment="1">
      <alignment horizontal="center" vertical="center" wrapText="1"/>
    </xf>
    <xf numFmtId="165" fontId="16" fillId="2" borderId="0" xfId="0" applyNumberFormat="1" applyFont="1" applyFill="1" applyAlignment="1">
      <alignment horizontal="center" vertical="center"/>
    </xf>
    <xf numFmtId="2" fontId="16" fillId="2" borderId="0" xfId="0" applyNumberFormat="1" applyFont="1" applyFill="1" applyAlignment="1">
      <alignment horizontal="center" vertical="center"/>
    </xf>
    <xf numFmtId="0" fontId="16" fillId="0" borderId="0" xfId="0" applyFont="1" applyAlignment="1">
      <alignment horizontal="center" vertical="center" wrapText="1"/>
    </xf>
    <xf numFmtId="11" fontId="16" fillId="0" borderId="0" xfId="0" applyNumberFormat="1" applyFont="1" applyAlignment="1">
      <alignment horizontal="center" vertical="center"/>
    </xf>
    <xf numFmtId="11" fontId="16" fillId="2" borderId="0" xfId="0" applyNumberFormat="1" applyFont="1" applyFill="1" applyAlignment="1">
      <alignment horizontal="center" vertical="center"/>
    </xf>
    <xf numFmtId="11" fontId="3" fillId="2" borderId="36" xfId="0" applyNumberFormat="1" applyFont="1" applyFill="1" applyBorder="1" applyAlignment="1">
      <alignment horizontal="center" vertical="center"/>
    </xf>
    <xf numFmtId="11" fontId="3" fillId="2" borderId="42" xfId="0" applyNumberFormat="1" applyFont="1" applyFill="1" applyBorder="1" applyAlignment="1">
      <alignment horizontal="center" vertical="center"/>
    </xf>
    <xf numFmtId="11" fontId="16" fillId="0" borderId="0" xfId="0" applyNumberFormat="1" applyFont="1" applyAlignment="1">
      <alignment horizontal="center" vertical="center" wrapText="1"/>
    </xf>
    <xf numFmtId="11" fontId="16" fillId="0" borderId="29" xfId="0" applyNumberFormat="1" applyFont="1" applyBorder="1" applyAlignment="1">
      <alignment horizontal="center" vertical="center"/>
    </xf>
    <xf numFmtId="11" fontId="16" fillId="0" borderId="42" xfId="0" applyNumberFormat="1" applyFont="1" applyBorder="1" applyAlignment="1">
      <alignment horizontal="center" vertical="center"/>
    </xf>
    <xf numFmtId="11" fontId="16" fillId="0" borderId="30" xfId="0" applyNumberFormat="1" applyFont="1" applyBorder="1" applyAlignment="1">
      <alignment horizontal="center" vertical="center"/>
    </xf>
    <xf numFmtId="11" fontId="16" fillId="0" borderId="57" xfId="0" applyNumberFormat="1" applyFont="1" applyBorder="1" applyAlignment="1">
      <alignment horizontal="center" vertical="center"/>
    </xf>
    <xf numFmtId="11" fontId="16" fillId="0" borderId="18" xfId="0" applyNumberFormat="1" applyFont="1" applyBorder="1" applyAlignment="1">
      <alignment horizontal="center" vertical="center"/>
    </xf>
    <xf numFmtId="11" fontId="16" fillId="0" borderId="14" xfId="0" applyNumberFormat="1" applyFont="1" applyBorder="1" applyAlignment="1">
      <alignment horizontal="center" vertical="center"/>
    </xf>
    <xf numFmtId="0" fontId="7" fillId="8" borderId="69" xfId="0" applyFont="1" applyFill="1" applyBorder="1" applyAlignment="1">
      <alignment horizontal="center" vertical="center" wrapText="1"/>
    </xf>
    <xf numFmtId="11" fontId="16" fillId="0" borderId="68" xfId="0" applyNumberFormat="1" applyFont="1" applyBorder="1" applyAlignment="1">
      <alignment horizontal="center" vertical="center"/>
    </xf>
    <xf numFmtId="11" fontId="16" fillId="0" borderId="49" xfId="0" applyNumberFormat="1" applyFont="1" applyBorder="1" applyAlignment="1">
      <alignment horizontal="center" vertical="center"/>
    </xf>
    <xf numFmtId="11" fontId="16" fillId="0" borderId="69" xfId="0" applyNumberFormat="1" applyFont="1" applyBorder="1" applyAlignment="1">
      <alignment horizontal="center" vertical="center"/>
    </xf>
    <xf numFmtId="0" fontId="0" fillId="0" borderId="8" xfId="0" applyBorder="1" applyAlignment="1">
      <alignment horizontal="center" vertical="center" wrapText="1"/>
    </xf>
    <xf numFmtId="0" fontId="0" fillId="0" borderId="22" xfId="0" applyBorder="1" applyAlignment="1">
      <alignment horizontal="center" vertical="center" wrapText="1"/>
    </xf>
    <xf numFmtId="0" fontId="0" fillId="0" borderId="29" xfId="0" applyBorder="1" applyAlignment="1">
      <alignment horizontal="center" vertical="center" wrapText="1"/>
    </xf>
    <xf numFmtId="0" fontId="0" fillId="0" borderId="42" xfId="0" applyBorder="1" applyAlignment="1">
      <alignment horizontal="center" vertical="center" wrapText="1"/>
    </xf>
    <xf numFmtId="164" fontId="0" fillId="0" borderId="8" xfId="0" applyNumberFormat="1" applyBorder="1" applyAlignment="1">
      <alignment horizontal="center" vertical="center" wrapText="1"/>
    </xf>
    <xf numFmtId="0" fontId="0" fillId="0" borderId="0" xfId="0" applyAlignment="1">
      <alignment horizontal="center" vertical="center"/>
    </xf>
    <xf numFmtId="0" fontId="1" fillId="4" borderId="16"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5" xfId="0" applyFont="1" applyFill="1" applyBorder="1" applyAlignment="1">
      <alignment horizontal="center" vertical="center" wrapText="1"/>
    </xf>
    <xf numFmtId="167" fontId="0" fillId="0" borderId="8" xfId="0" applyNumberFormat="1" applyBorder="1" applyAlignment="1">
      <alignment horizontal="center" vertical="center"/>
    </xf>
    <xf numFmtId="2" fontId="0" fillId="0" borderId="8" xfId="0" applyNumberFormat="1" applyBorder="1" applyAlignment="1">
      <alignment horizontal="center" vertical="center"/>
    </xf>
    <xf numFmtId="1" fontId="0" fillId="0" borderId="23" xfId="0" applyNumberFormat="1" applyBorder="1" applyAlignment="1">
      <alignment horizontal="center" vertical="center"/>
    </xf>
    <xf numFmtId="1" fontId="0" fillId="0" borderId="22" xfId="0" applyNumberFormat="1" applyBorder="1" applyAlignment="1">
      <alignment horizontal="center" vertical="center" wrapText="1"/>
    </xf>
    <xf numFmtId="1" fontId="0" fillId="0" borderId="8" xfId="0" applyNumberFormat="1" applyBorder="1" applyAlignment="1">
      <alignment horizontal="center" vertical="center" wrapText="1"/>
    </xf>
    <xf numFmtId="167" fontId="0" fillId="0" borderId="3" xfId="0" applyNumberFormat="1"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1" fontId="0" fillId="0" borderId="8" xfId="0" applyNumberFormat="1" applyBorder="1" applyAlignment="1">
      <alignment horizontal="center" vertical="center"/>
    </xf>
    <xf numFmtId="1" fontId="0" fillId="0" borderId="2" xfId="0" applyNumberFormat="1" applyBorder="1" applyAlignment="1">
      <alignment horizontal="center" vertical="center"/>
    </xf>
    <xf numFmtId="11" fontId="0" fillId="0" borderId="3" xfId="0" applyNumberFormat="1" applyBorder="1" applyAlignment="1">
      <alignment horizontal="center" vertical="center"/>
    </xf>
    <xf numFmtId="2" fontId="0" fillId="0" borderId="3" xfId="0" applyNumberFormat="1" applyBorder="1" applyAlignment="1">
      <alignment horizontal="center" vertical="center"/>
    </xf>
    <xf numFmtId="165" fontId="0" fillId="0" borderId="8" xfId="0" applyNumberFormat="1" applyBorder="1" applyAlignment="1">
      <alignment horizontal="center" vertical="center"/>
    </xf>
    <xf numFmtId="1" fontId="0" fillId="0" borderId="3" xfId="0" applyNumberFormat="1" applyBorder="1" applyAlignment="1">
      <alignment horizontal="center" vertical="center"/>
    </xf>
    <xf numFmtId="1" fontId="0" fillId="0" borderId="42" xfId="0" applyNumberFormat="1" applyBorder="1" applyAlignment="1">
      <alignment horizontal="center" vertical="center"/>
    </xf>
    <xf numFmtId="2" fontId="0" fillId="0" borderId="42" xfId="0" applyNumberFormat="1" applyBorder="1" applyAlignment="1">
      <alignment horizontal="center" vertical="center"/>
    </xf>
    <xf numFmtId="1" fontId="0" fillId="0" borderId="30" xfId="0" applyNumberFormat="1" applyBorder="1" applyAlignment="1">
      <alignment horizontal="center" vertical="center"/>
    </xf>
    <xf numFmtId="1" fontId="0" fillId="0" borderId="29" xfId="0" applyNumberFormat="1" applyBorder="1" applyAlignment="1">
      <alignment horizontal="center" vertical="center" wrapText="1"/>
    </xf>
    <xf numFmtId="1" fontId="0" fillId="0" borderId="42" xfId="0" applyNumberFormat="1" applyBorder="1" applyAlignment="1">
      <alignment horizontal="center" vertical="center" wrapText="1"/>
    </xf>
    <xf numFmtId="1" fontId="0" fillId="0" borderId="40" xfId="0" applyNumberForma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167" fontId="0" fillId="0" borderId="42" xfId="0" applyNumberFormat="1" applyBorder="1" applyAlignment="1">
      <alignment horizontal="center" vertical="center"/>
    </xf>
    <xf numFmtId="1" fontId="0" fillId="0" borderId="41" xfId="0" applyNumberFormat="1" applyBorder="1" applyAlignment="1">
      <alignment horizontal="center" vertical="center"/>
    </xf>
    <xf numFmtId="0" fontId="1" fillId="0" borderId="0" xfId="0" applyFont="1" applyAlignment="1">
      <alignment horizontal="center" vertical="center" wrapText="1"/>
    </xf>
    <xf numFmtId="164" fontId="0" fillId="0" borderId="23"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23" xfId="0" applyNumberFormat="1" applyBorder="1" applyAlignment="1">
      <alignment horizontal="center" vertical="center"/>
    </xf>
    <xf numFmtId="11" fontId="0" fillId="0" borderId="23" xfId="0" applyNumberFormat="1" applyBorder="1" applyAlignment="1">
      <alignment horizontal="center" vertical="center"/>
    </xf>
    <xf numFmtId="164" fontId="0" fillId="0" borderId="29" xfId="0" applyNumberFormat="1" applyBorder="1" applyAlignment="1">
      <alignment horizontal="center" vertical="center" wrapText="1"/>
    </xf>
    <xf numFmtId="164" fontId="0" fillId="0" borderId="42" xfId="0" applyNumberFormat="1" applyBorder="1" applyAlignment="1">
      <alignment horizontal="center" vertical="center" wrapText="1"/>
    </xf>
    <xf numFmtId="11" fontId="0" fillId="0" borderId="30" xfId="0" applyNumberFormat="1" applyBorder="1" applyAlignment="1">
      <alignment horizontal="center" vertical="center"/>
    </xf>
    <xf numFmtId="0" fontId="6" fillId="4" borderId="0" xfId="0" applyFont="1" applyFill="1" applyAlignment="1">
      <alignment horizontal="center"/>
    </xf>
    <xf numFmtId="0" fontId="3" fillId="0" borderId="0" xfId="0" applyFont="1" applyAlignment="1">
      <alignment vertical="center"/>
    </xf>
    <xf numFmtId="0" fontId="3" fillId="0" borderId="0" xfId="0" quotePrefix="1" applyFont="1" applyAlignment="1">
      <alignment vertical="center" wrapText="1"/>
    </xf>
    <xf numFmtId="0" fontId="3" fillId="0" borderId="0" xfId="0" quotePrefix="1" applyFont="1" applyAlignment="1">
      <alignment wrapText="1"/>
    </xf>
    <xf numFmtId="0" fontId="3" fillId="0" borderId="0" xfId="0" applyFont="1" applyAlignment="1">
      <alignment horizontal="left" wrapText="1"/>
    </xf>
    <xf numFmtId="0" fontId="3" fillId="0" borderId="0" xfId="0" applyFont="1" applyAlignment="1">
      <alignment horizontal="left"/>
    </xf>
    <xf numFmtId="0" fontId="6" fillId="0" borderId="0" xfId="0" applyFont="1" applyAlignment="1">
      <alignment horizontal="left"/>
    </xf>
    <xf numFmtId="0" fontId="3" fillId="0" borderId="0" xfId="0" quotePrefix="1" applyFont="1" applyAlignment="1">
      <alignment horizontal="left"/>
    </xf>
    <xf numFmtId="0" fontId="0" fillId="0" borderId="9" xfId="0" applyBorder="1"/>
    <xf numFmtId="0" fontId="0" fillId="0" borderId="11" xfId="0" applyBorder="1" applyAlignment="1">
      <alignment wrapText="1"/>
    </xf>
    <xf numFmtId="1" fontId="3" fillId="0" borderId="33" xfId="0" applyNumberFormat="1" applyFont="1" applyBorder="1" applyAlignment="1">
      <alignment horizontal="center"/>
    </xf>
    <xf numFmtId="1" fontId="3" fillId="0" borderId="39" xfId="0" applyNumberFormat="1" applyFont="1" applyBorder="1" applyAlignment="1">
      <alignment horizontal="center"/>
    </xf>
    <xf numFmtId="1" fontId="3" fillId="0" borderId="60" xfId="0" applyNumberFormat="1" applyFont="1" applyBorder="1" applyAlignment="1">
      <alignment horizontal="center"/>
    </xf>
    <xf numFmtId="164" fontId="16" fillId="0" borderId="8" xfId="0" applyNumberFormat="1" applyFont="1" applyBorder="1" applyAlignment="1">
      <alignment horizontal="center" vertical="center" wrapText="1"/>
    </xf>
    <xf numFmtId="1" fontId="3" fillId="0" borderId="37" xfId="0" quotePrefix="1" applyNumberFormat="1" applyFont="1" applyBorder="1" applyAlignment="1">
      <alignment horizontal="center"/>
    </xf>
    <xf numFmtId="4" fontId="3" fillId="0" borderId="8" xfId="0" applyNumberFormat="1" applyFont="1" applyBorder="1" applyAlignment="1">
      <alignment horizontal="center"/>
    </xf>
    <xf numFmtId="4" fontId="3" fillId="0" borderId="23" xfId="0" applyNumberFormat="1" applyFont="1" applyBorder="1" applyAlignment="1">
      <alignment horizontal="center"/>
    </xf>
    <xf numFmtId="4" fontId="3" fillId="0" borderId="42" xfId="0" applyNumberFormat="1" applyFont="1" applyBorder="1" applyAlignment="1">
      <alignment horizontal="center"/>
    </xf>
    <xf numFmtId="11" fontId="0" fillId="0" borderId="40" xfId="0" applyNumberFormat="1" applyBorder="1" applyAlignment="1">
      <alignment horizontal="center" vertical="center"/>
    </xf>
    <xf numFmtId="164" fontId="0" fillId="0" borderId="30" xfId="0" applyNumberFormat="1" applyBorder="1" applyAlignment="1">
      <alignment horizontal="center" vertical="center"/>
    </xf>
    <xf numFmtId="0" fontId="3" fillId="0" borderId="0" xfId="0" applyFont="1" applyAlignment="1">
      <alignment horizontal="left" vertical="center" wrapText="1"/>
    </xf>
    <xf numFmtId="0" fontId="6" fillId="8" borderId="8" xfId="0" applyFont="1" applyFill="1" applyBorder="1" applyAlignment="1">
      <alignment horizontal="center" vertical="center" wrapText="1"/>
    </xf>
    <xf numFmtId="0" fontId="3" fillId="2" borderId="8" xfId="0" applyFont="1" applyFill="1" applyBorder="1" applyAlignment="1">
      <alignment horizontal="center" vertical="center"/>
    </xf>
    <xf numFmtId="0" fontId="7" fillId="8" borderId="8" xfId="0" applyFont="1" applyFill="1" applyBorder="1" applyAlignment="1">
      <alignment horizontal="center" vertical="center" wrapText="1"/>
    </xf>
    <xf numFmtId="0" fontId="6" fillId="8" borderId="49" xfId="0" applyFont="1" applyFill="1" applyBorder="1" applyAlignment="1">
      <alignment horizontal="center" wrapText="1"/>
    </xf>
    <xf numFmtId="0" fontId="7" fillId="8" borderId="49" xfId="0" applyFont="1" applyFill="1" applyBorder="1" applyAlignment="1">
      <alignment horizontal="center" vertical="center" wrapText="1"/>
    </xf>
    <xf numFmtId="0" fontId="7" fillId="8" borderId="42" xfId="0" applyFont="1" applyFill="1" applyBorder="1" applyAlignment="1">
      <alignment horizontal="center" vertical="center" wrapText="1"/>
    </xf>
    <xf numFmtId="0" fontId="3" fillId="2" borderId="36" xfId="0" applyFont="1" applyFill="1" applyBorder="1" applyAlignment="1">
      <alignment horizontal="center" vertical="center"/>
    </xf>
    <xf numFmtId="0" fontId="3" fillId="2" borderId="42" xfId="0" applyFont="1" applyFill="1" applyBorder="1" applyAlignment="1">
      <alignment horizontal="center" vertical="center"/>
    </xf>
    <xf numFmtId="1" fontId="3" fillId="2" borderId="8" xfId="0" applyNumberFormat="1" applyFont="1" applyFill="1" applyBorder="1" applyAlignment="1">
      <alignment horizontal="center" vertical="center"/>
    </xf>
    <xf numFmtId="0" fontId="3" fillId="2" borderId="49" xfId="0" applyFont="1" applyFill="1" applyBorder="1" applyAlignment="1">
      <alignment horizontal="center" vertical="center"/>
    </xf>
    <xf numFmtId="0" fontId="3" fillId="2" borderId="10" xfId="0" applyFont="1" applyFill="1" applyBorder="1" applyAlignment="1">
      <alignment horizontal="center" vertical="center"/>
    </xf>
    <xf numFmtId="0" fontId="6" fillId="8" borderId="8" xfId="0" applyFont="1" applyFill="1" applyBorder="1" applyAlignment="1">
      <alignment horizont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 fillId="10" borderId="12" xfId="0" applyFont="1" applyFill="1" applyBorder="1" applyAlignment="1">
      <alignment horizontal="center" wrapText="1"/>
    </xf>
    <xf numFmtId="0" fontId="1" fillId="10" borderId="15" xfId="0" applyFont="1" applyFill="1" applyBorder="1" applyAlignment="1">
      <alignment horizontal="center" wrapText="1"/>
    </xf>
    <xf numFmtId="0" fontId="1" fillId="10" borderId="55" xfId="0" applyFont="1" applyFill="1" applyBorder="1" applyAlignment="1">
      <alignment horizontal="center" wrapText="1"/>
    </xf>
    <xf numFmtId="0" fontId="1" fillId="10" borderId="57" xfId="0" applyFont="1" applyFill="1" applyBorder="1" applyAlignment="1">
      <alignment horizontal="center" wrapText="1"/>
    </xf>
    <xf numFmtId="0" fontId="1" fillId="10" borderId="18" xfId="0" applyFont="1" applyFill="1" applyBorder="1" applyAlignment="1">
      <alignment horizontal="center" wrapText="1"/>
    </xf>
    <xf numFmtId="0" fontId="1" fillId="10" borderId="14" xfId="0" applyFont="1" applyFill="1" applyBorder="1" applyAlignment="1">
      <alignment horizontal="center" wrapText="1"/>
    </xf>
    <xf numFmtId="0" fontId="0" fillId="2" borderId="0" xfId="0" applyFill="1" applyAlignment="1">
      <alignment horizontal="left" vertical="top" wrapText="1"/>
    </xf>
    <xf numFmtId="165" fontId="3" fillId="0" borderId="19" xfId="0" quotePrefix="1" applyNumberFormat="1" applyFont="1" applyBorder="1" applyAlignment="1">
      <alignment horizontal="center"/>
    </xf>
    <xf numFmtId="0" fontId="6" fillId="0" borderId="0" xfId="0" applyFont="1" applyAlignment="1">
      <alignment horizontal="center" vertical="center" wrapText="1"/>
    </xf>
    <xf numFmtId="0" fontId="6" fillId="0" borderId="0" xfId="0" applyFont="1" applyAlignment="1">
      <alignment horizontal="center" vertical="center"/>
    </xf>
    <xf numFmtId="9" fontId="3" fillId="5" borderId="60" xfId="0" quotePrefix="1" applyNumberFormat="1" applyFont="1" applyFill="1" applyBorder="1" applyAlignment="1">
      <alignment horizontal="center"/>
    </xf>
    <xf numFmtId="1" fontId="3" fillId="0" borderId="52" xfId="0" applyNumberFormat="1" applyFont="1" applyBorder="1" applyAlignment="1">
      <alignment horizontal="center"/>
    </xf>
    <xf numFmtId="1" fontId="3" fillId="0" borderId="33" xfId="0" applyNumberFormat="1" applyFont="1" applyBorder="1" applyAlignment="1">
      <alignment horizontal="center" vertical="center"/>
    </xf>
    <xf numFmtId="1" fontId="3" fillId="0" borderId="50" xfId="0" applyNumberFormat="1" applyFont="1" applyBorder="1" applyAlignment="1">
      <alignment horizontal="center"/>
    </xf>
    <xf numFmtId="174" fontId="3" fillId="0" borderId="33" xfId="0" applyNumberFormat="1" applyFont="1" applyBorder="1" applyAlignment="1">
      <alignment horizontal="center" vertical="center"/>
    </xf>
    <xf numFmtId="9" fontId="3" fillId="0" borderId="33" xfId="0" applyNumberFormat="1" applyFont="1" applyBorder="1" applyAlignment="1">
      <alignment horizontal="center" vertical="center"/>
    </xf>
    <xf numFmtId="164" fontId="3" fillId="0" borderId="22" xfId="0" applyNumberFormat="1" applyFont="1" applyBorder="1" applyAlignment="1">
      <alignment horizontal="center" vertical="center"/>
    </xf>
    <xf numFmtId="164" fontId="3" fillId="0" borderId="2" xfId="0" applyNumberFormat="1" applyFont="1" applyBorder="1" applyAlignment="1">
      <alignment horizontal="center" vertical="center"/>
    </xf>
    <xf numFmtId="1" fontId="3" fillId="0" borderId="53" xfId="0" applyNumberFormat="1" applyFont="1" applyBorder="1" applyAlignment="1">
      <alignment horizontal="center"/>
    </xf>
    <xf numFmtId="9" fontId="3" fillId="0" borderId="39" xfId="0" applyNumberFormat="1" applyFont="1" applyBorder="1" applyAlignment="1">
      <alignment horizontal="center" vertical="center"/>
    </xf>
    <xf numFmtId="10" fontId="3" fillId="0" borderId="33" xfId="0" applyNumberFormat="1" applyFont="1" applyBorder="1" applyAlignment="1">
      <alignment horizontal="center" vertical="center"/>
    </xf>
    <xf numFmtId="1" fontId="3" fillId="0" borderId="70" xfId="0" applyNumberFormat="1" applyFont="1" applyBorder="1" applyAlignment="1">
      <alignment horizontal="center" vertical="center"/>
    </xf>
    <xf numFmtId="1" fontId="3" fillId="0" borderId="35" xfId="0" applyNumberFormat="1" applyFont="1" applyBorder="1" applyAlignment="1">
      <alignment horizontal="center" vertical="center"/>
    </xf>
    <xf numFmtId="1" fontId="3" fillId="0" borderId="2" xfId="0" quotePrefix="1" applyNumberFormat="1" applyFont="1" applyBorder="1" applyAlignment="1">
      <alignment horizontal="center" vertical="center"/>
    </xf>
    <xf numFmtId="1" fontId="3" fillId="0" borderId="37" xfId="0" applyNumberFormat="1" applyFont="1" applyBorder="1" applyAlignment="1">
      <alignment horizontal="center" vertical="center"/>
    </xf>
    <xf numFmtId="1" fontId="3" fillId="0" borderId="2" xfId="0" applyNumberFormat="1" applyFont="1" applyBorder="1" applyAlignment="1">
      <alignment horizontal="center" vertical="center"/>
    </xf>
    <xf numFmtId="0" fontId="3" fillId="0" borderId="60" xfId="0" applyFont="1" applyBorder="1" applyAlignment="1">
      <alignment vertical="center" wrapText="1"/>
    </xf>
    <xf numFmtId="0" fontId="3" fillId="0" borderId="26" xfId="0" applyFont="1" applyBorder="1" applyAlignment="1">
      <alignment vertical="center" wrapText="1"/>
    </xf>
    <xf numFmtId="0" fontId="3" fillId="0" borderId="33" xfId="0" applyFont="1" applyBorder="1" applyAlignment="1">
      <alignment wrapText="1"/>
    </xf>
    <xf numFmtId="0" fontId="3" fillId="0" borderId="33" xfId="0" applyFont="1" applyBorder="1" applyAlignment="1">
      <alignment vertical="center" wrapText="1"/>
    </xf>
    <xf numFmtId="0" fontId="3" fillId="0" borderId="39" xfId="0" applyFont="1" applyBorder="1" applyAlignment="1">
      <alignment vertical="center" wrapText="1"/>
    </xf>
    <xf numFmtId="0" fontId="6" fillId="4" borderId="21"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3" fillId="0" borderId="51" xfId="0" applyFont="1" applyBorder="1" applyAlignment="1">
      <alignment wrapText="1"/>
    </xf>
    <xf numFmtId="4" fontId="3" fillId="0" borderId="17" xfId="0" applyNumberFormat="1" applyFont="1" applyBorder="1" applyAlignment="1">
      <alignment horizontal="center" vertical="center"/>
    </xf>
    <xf numFmtId="4" fontId="3" fillId="0" borderId="34" xfId="0" applyNumberFormat="1" applyFont="1" applyBorder="1" applyAlignment="1">
      <alignment horizontal="center" vertical="center"/>
    </xf>
    <xf numFmtId="10" fontId="3" fillId="0" borderId="39" xfId="0" applyNumberFormat="1" applyFont="1" applyBorder="1" applyAlignment="1">
      <alignment horizontal="center" vertical="center"/>
    </xf>
    <xf numFmtId="4" fontId="3" fillId="0" borderId="41" xfId="0" applyNumberFormat="1" applyFont="1" applyBorder="1" applyAlignment="1">
      <alignment horizontal="center" vertical="center"/>
    </xf>
    <xf numFmtId="4" fontId="3" fillId="0" borderId="59" xfId="0" applyNumberFormat="1" applyFont="1" applyBorder="1" applyAlignment="1">
      <alignment horizontal="center" vertical="center"/>
    </xf>
    <xf numFmtId="4" fontId="3" fillId="0" borderId="28" xfId="0" applyNumberFormat="1" applyFont="1" applyBorder="1" applyAlignment="1">
      <alignment horizontal="center" vertical="center"/>
    </xf>
    <xf numFmtId="4" fontId="3" fillId="0" borderId="27" xfId="0" applyNumberFormat="1" applyFont="1" applyBorder="1" applyAlignment="1">
      <alignment horizontal="center" vertical="center"/>
    </xf>
    <xf numFmtId="174" fontId="3" fillId="0" borderId="39" xfId="0" applyNumberFormat="1" applyFont="1" applyBorder="1" applyAlignment="1">
      <alignment horizontal="center" vertical="center"/>
    </xf>
    <xf numFmtId="1" fontId="3" fillId="0" borderId="40" xfId="0" applyNumberFormat="1" applyFont="1" applyBorder="1" applyAlignment="1">
      <alignment horizontal="center" vertical="center"/>
    </xf>
    <xf numFmtId="0" fontId="3" fillId="7" borderId="16" xfId="0" applyFont="1" applyFill="1" applyBorder="1" applyAlignment="1">
      <alignment horizontal="center" vertical="center"/>
    </xf>
    <xf numFmtId="0" fontId="3" fillId="7" borderId="52"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50" xfId="0" applyFont="1" applyFill="1" applyBorder="1" applyAlignment="1">
      <alignment horizontal="center" vertical="center"/>
    </xf>
    <xf numFmtId="0" fontId="3" fillId="7" borderId="29" xfId="0" applyFont="1" applyFill="1" applyBorder="1" applyAlignment="1">
      <alignment horizontal="center" vertical="center"/>
    </xf>
    <xf numFmtId="0" fontId="3" fillId="7" borderId="53" xfId="0" applyFont="1" applyFill="1" applyBorder="1" applyAlignment="1">
      <alignment horizontal="center" vertical="center"/>
    </xf>
    <xf numFmtId="0" fontId="3" fillId="0" borderId="22" xfId="0" applyFont="1" applyBorder="1" applyAlignment="1">
      <alignment horizontal="center" vertical="center"/>
    </xf>
    <xf numFmtId="1" fontId="3" fillId="0" borderId="41" xfId="0" applyNumberFormat="1" applyFont="1" applyBorder="1" applyAlignment="1">
      <alignment horizontal="center" vertical="center"/>
    </xf>
    <xf numFmtId="0" fontId="3" fillId="0" borderId="39" xfId="0" applyFont="1" applyBorder="1" applyAlignment="1">
      <alignment wrapText="1"/>
    </xf>
    <xf numFmtId="1" fontId="3" fillId="0" borderId="34" xfId="0" applyNumberFormat="1" applyFont="1" applyBorder="1" applyAlignment="1">
      <alignment horizontal="center"/>
    </xf>
    <xf numFmtId="0" fontId="7" fillId="4" borderId="67"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6" fillId="4" borderId="13" xfId="0" applyFont="1" applyFill="1" applyBorder="1" applyAlignment="1">
      <alignment vertical="center" wrapText="1"/>
    </xf>
    <xf numFmtId="0" fontId="6" fillId="4" borderId="20" xfId="0" applyFont="1" applyFill="1" applyBorder="1" applyAlignment="1">
      <alignment vertical="center" wrapText="1"/>
    </xf>
    <xf numFmtId="0" fontId="3" fillId="0" borderId="32" xfId="0" applyFont="1" applyBorder="1" applyAlignment="1">
      <alignment vertical="center"/>
    </xf>
    <xf numFmtId="174" fontId="3" fillId="0" borderId="26" xfId="0" applyNumberFormat="1" applyFont="1" applyBorder="1" applyAlignment="1">
      <alignment horizontal="center" vertical="center"/>
    </xf>
    <xf numFmtId="9" fontId="3" fillId="0" borderId="26" xfId="0" applyNumberFormat="1" applyFont="1" applyBorder="1" applyAlignment="1">
      <alignment horizontal="center" vertical="center"/>
    </xf>
    <xf numFmtId="0" fontId="3" fillId="7" borderId="9" xfId="0" applyFont="1" applyFill="1" applyBorder="1" applyAlignment="1">
      <alignment horizontal="center" vertical="center"/>
    </xf>
    <xf numFmtId="0" fontId="3" fillId="7" borderId="56" xfId="0" applyFont="1" applyFill="1" applyBorder="1" applyAlignment="1">
      <alignment horizontal="center" vertical="center"/>
    </xf>
    <xf numFmtId="1" fontId="3" fillId="0" borderId="6" xfId="0" applyNumberFormat="1" applyFont="1" applyBorder="1" applyAlignment="1">
      <alignment horizontal="center" vertical="center"/>
    </xf>
    <xf numFmtId="0" fontId="6" fillId="4" borderId="73" xfId="0" applyFont="1" applyFill="1" applyBorder="1" applyAlignment="1">
      <alignment horizontal="center" vertical="center" wrapText="1"/>
    </xf>
    <xf numFmtId="0" fontId="6" fillId="4" borderId="64" xfId="0" applyFont="1" applyFill="1" applyBorder="1" applyAlignment="1">
      <alignment horizontal="center" vertical="center" wrapText="1"/>
    </xf>
    <xf numFmtId="1" fontId="3" fillId="0" borderId="72" xfId="0" applyNumberFormat="1" applyFont="1" applyBorder="1" applyAlignment="1">
      <alignment horizontal="center" vertical="center"/>
    </xf>
    <xf numFmtId="164" fontId="3" fillId="0" borderId="9" xfId="0" applyNumberFormat="1" applyFont="1" applyBorder="1" applyAlignment="1">
      <alignment horizontal="center" vertical="center"/>
    </xf>
    <xf numFmtId="164" fontId="3" fillId="0" borderId="6" xfId="0" applyNumberFormat="1" applyFont="1" applyBorder="1" applyAlignment="1">
      <alignment horizontal="center" vertical="center"/>
    </xf>
    <xf numFmtId="1" fontId="3" fillId="0" borderId="32" xfId="0" applyNumberFormat="1" applyFont="1" applyBorder="1" applyAlignment="1">
      <alignment horizontal="center" vertical="center"/>
    </xf>
    <xf numFmtId="0" fontId="3" fillId="7" borderId="60" xfId="0" applyFont="1" applyFill="1" applyBorder="1" applyAlignment="1">
      <alignment horizontal="center" vertical="center"/>
    </xf>
    <xf numFmtId="0" fontId="3" fillId="7" borderId="33" xfId="0" applyFont="1" applyFill="1" applyBorder="1" applyAlignment="1">
      <alignment horizontal="center" vertical="center"/>
    </xf>
    <xf numFmtId="0" fontId="3" fillId="7" borderId="39" xfId="0" applyFont="1" applyFill="1" applyBorder="1" applyAlignment="1">
      <alignment horizontal="center" vertical="center"/>
    </xf>
    <xf numFmtId="0" fontId="7" fillId="4" borderId="68" xfId="0" applyFont="1" applyFill="1" applyBorder="1" applyAlignment="1">
      <alignment horizontal="center" vertical="center" wrapText="1"/>
    </xf>
    <xf numFmtId="0" fontId="7" fillId="4" borderId="49" xfId="0" applyFont="1" applyFill="1" applyBorder="1" applyAlignment="1">
      <alignment horizontal="center" vertical="center" wrapText="1"/>
    </xf>
    <xf numFmtId="0" fontId="7" fillId="4" borderId="69" xfId="0" applyFont="1" applyFill="1" applyBorder="1" applyAlignment="1">
      <alignment horizontal="center" vertical="center" wrapText="1"/>
    </xf>
    <xf numFmtId="9" fontId="3" fillId="0" borderId="60" xfId="0" quotePrefix="1" applyNumberFormat="1" applyFont="1" applyBorder="1" applyAlignment="1">
      <alignment horizontal="center"/>
    </xf>
    <xf numFmtId="167" fontId="3" fillId="0" borderId="16" xfId="0" quotePrefix="1" applyNumberFormat="1" applyFont="1" applyBorder="1" applyAlignment="1">
      <alignment horizontal="center"/>
    </xf>
    <xf numFmtId="3" fontId="3" fillId="0" borderId="17" xfId="0" quotePrefix="1" applyNumberFormat="1" applyFont="1" applyBorder="1" applyAlignment="1">
      <alignment horizontal="center"/>
    </xf>
    <xf numFmtId="165" fontId="3" fillId="0" borderId="12" xfId="0" quotePrefix="1" applyNumberFormat="1" applyFont="1" applyBorder="1" applyAlignment="1">
      <alignment horizontal="center"/>
    </xf>
    <xf numFmtId="168" fontId="3" fillId="0" borderId="16" xfId="0" applyNumberFormat="1" applyFont="1" applyBorder="1" applyAlignment="1">
      <alignment horizontal="center"/>
    </xf>
    <xf numFmtId="169" fontId="3" fillId="0" borderId="36" xfId="0" applyNumberFormat="1" applyFont="1" applyBorder="1" applyAlignment="1">
      <alignment horizontal="center"/>
    </xf>
    <xf numFmtId="171" fontId="3" fillId="0" borderId="39" xfId="0" applyNumberFormat="1" applyFont="1" applyBorder="1" applyAlignment="1">
      <alignment horizontal="center"/>
    </xf>
    <xf numFmtId="0" fontId="3" fillId="7" borderId="51" xfId="0" applyFont="1" applyFill="1" applyBorder="1" applyAlignment="1">
      <alignment horizontal="center" vertical="center"/>
    </xf>
    <xf numFmtId="0" fontId="3" fillId="7" borderId="37" xfId="0" applyFont="1" applyFill="1" applyBorder="1" applyAlignment="1">
      <alignment horizontal="center" vertical="center"/>
    </xf>
    <xf numFmtId="0" fontId="3" fillId="7" borderId="38" xfId="0" applyFont="1" applyFill="1" applyBorder="1" applyAlignment="1">
      <alignment horizontal="center" vertical="center"/>
    </xf>
    <xf numFmtId="169" fontId="3" fillId="0" borderId="17" xfId="0" applyNumberFormat="1" applyFont="1" applyBorder="1" applyAlignment="1">
      <alignment horizontal="center"/>
    </xf>
    <xf numFmtId="0" fontId="0" fillId="0" borderId="0" xfId="0" applyAlignment="1">
      <alignment horizontal="center"/>
    </xf>
    <xf numFmtId="0" fontId="37" fillId="2" borderId="0" xfId="0" applyFont="1" applyFill="1" applyAlignment="1">
      <alignment horizontal="center" vertical="center"/>
    </xf>
    <xf numFmtId="0" fontId="27" fillId="0" borderId="0" xfId="0" applyFont="1" applyAlignment="1">
      <alignment horizontal="center"/>
    </xf>
    <xf numFmtId="0" fontId="35" fillId="0" borderId="0" xfId="0" applyFont="1" applyAlignment="1">
      <alignment horizontal="center" wrapText="1"/>
    </xf>
    <xf numFmtId="0" fontId="0" fillId="0" borderId="51" xfId="0" applyBorder="1" applyAlignment="1">
      <alignment wrapText="1"/>
    </xf>
    <xf numFmtId="0" fontId="0" fillId="0" borderId="37" xfId="0" applyBorder="1" applyAlignment="1">
      <alignment vertical="center" wrapText="1"/>
    </xf>
    <xf numFmtId="0" fontId="0" fillId="0" borderId="17" xfId="0"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xf>
    <xf numFmtId="0" fontId="1" fillId="4" borderId="57"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0" fillId="0" borderId="59" xfId="0" applyBorder="1" applyAlignment="1">
      <alignment horizontal="center" vertical="center" wrapText="1"/>
    </xf>
    <xf numFmtId="0" fontId="6" fillId="4" borderId="12" xfId="0" applyFont="1" applyFill="1" applyBorder="1"/>
    <xf numFmtId="0" fontId="6" fillId="4" borderId="15" xfId="0" applyFont="1" applyFill="1" applyBorder="1"/>
    <xf numFmtId="0" fontId="0" fillId="0" borderId="30" xfId="0" applyBorder="1" applyAlignment="1">
      <alignment horizontal="left" vertical="top" wrapText="1"/>
    </xf>
    <xf numFmtId="0" fontId="6" fillId="13" borderId="0" xfId="0" applyFont="1" applyFill="1" applyAlignment="1">
      <alignment horizontal="left"/>
    </xf>
    <xf numFmtId="0" fontId="3" fillId="0" borderId="0" xfId="0" applyFont="1" applyAlignment="1">
      <alignment horizontal="left"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29" xfId="0" applyFont="1" applyFill="1" applyBorder="1" applyAlignment="1">
      <alignment horizontal="center" vertical="center" wrapText="1"/>
    </xf>
    <xf numFmtId="2" fontId="3" fillId="2" borderId="9" xfId="0" applyNumberFormat="1" applyFont="1" applyFill="1" applyBorder="1" applyAlignment="1">
      <alignment horizontal="center" vertical="center"/>
    </xf>
    <xf numFmtId="2" fontId="3" fillId="2" borderId="29" xfId="0" applyNumberFormat="1" applyFont="1" applyFill="1" applyBorder="1" applyAlignment="1">
      <alignment horizontal="center" vertical="center"/>
    </xf>
    <xf numFmtId="0" fontId="3" fillId="2" borderId="16" xfId="0" applyFont="1" applyFill="1" applyBorder="1" applyAlignment="1">
      <alignment horizontal="center" vertical="center"/>
    </xf>
    <xf numFmtId="0" fontId="3" fillId="2" borderId="29" xfId="0" applyFont="1" applyFill="1" applyBorder="1" applyAlignment="1">
      <alignment horizontal="center" vertical="center"/>
    </xf>
    <xf numFmtId="1" fontId="3" fillId="2" borderId="9" xfId="0" applyNumberFormat="1" applyFont="1" applyFill="1" applyBorder="1" applyAlignment="1">
      <alignment horizontal="center" vertical="center"/>
    </xf>
    <xf numFmtId="1" fontId="3" fillId="2" borderId="68" xfId="0" applyNumberFormat="1" applyFont="1" applyFill="1" applyBorder="1" applyAlignment="1">
      <alignment horizontal="center" vertical="center"/>
    </xf>
    <xf numFmtId="0" fontId="7" fillId="8" borderId="36" xfId="0" applyFont="1" applyFill="1" applyBorder="1" applyAlignment="1">
      <alignment horizontal="center" vertical="center" wrapText="1"/>
    </xf>
    <xf numFmtId="0" fontId="7" fillId="8" borderId="42" xfId="0" applyFont="1" applyFill="1" applyBorder="1" applyAlignment="1">
      <alignment horizontal="center" vertical="center" wrapText="1"/>
    </xf>
    <xf numFmtId="0" fontId="7" fillId="8" borderId="17" xfId="0" applyFont="1" applyFill="1" applyBorder="1" applyAlignment="1">
      <alignment horizontal="center" vertical="center" wrapText="1"/>
    </xf>
    <xf numFmtId="11" fontId="3" fillId="2" borderId="58" xfId="0" applyNumberFormat="1" applyFont="1" applyFill="1" applyBorder="1" applyAlignment="1">
      <alignment horizontal="center" vertical="center"/>
    </xf>
    <xf numFmtId="11" fontId="3" fillId="2" borderId="59" xfId="0" applyNumberFormat="1" applyFont="1" applyFill="1" applyBorder="1" applyAlignment="1">
      <alignment horizontal="center" vertical="center"/>
    </xf>
    <xf numFmtId="0" fontId="6" fillId="2" borderId="16"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29" xfId="0" applyFont="1" applyFill="1" applyBorder="1" applyAlignment="1">
      <alignment horizontal="center" vertical="center" wrapText="1"/>
    </xf>
    <xf numFmtId="0" fontId="7" fillId="2" borderId="32"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51"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38" xfId="0" applyFont="1" applyFill="1" applyBorder="1" applyAlignment="1">
      <alignment horizontal="left" vertical="center" wrapText="1"/>
    </xf>
    <xf numFmtId="2" fontId="3" fillId="2" borderId="10" xfId="0" applyNumberFormat="1" applyFont="1" applyFill="1" applyBorder="1" applyAlignment="1">
      <alignment horizontal="center" vertical="center"/>
    </xf>
    <xf numFmtId="2" fontId="3" fillId="2" borderId="42" xfId="0" applyNumberFormat="1" applyFont="1" applyFill="1" applyBorder="1" applyAlignment="1">
      <alignment horizontal="center" vertical="center"/>
    </xf>
    <xf numFmtId="0" fontId="3" fillId="2" borderId="36" xfId="0" applyFont="1" applyFill="1" applyBorder="1" applyAlignment="1">
      <alignment horizontal="center" vertical="center"/>
    </xf>
    <xf numFmtId="0" fontId="3" fillId="2" borderId="42" xfId="0" applyFont="1" applyFill="1" applyBorder="1" applyAlignment="1">
      <alignment horizontal="center" vertical="center"/>
    </xf>
    <xf numFmtId="1" fontId="3" fillId="2" borderId="10" xfId="0" applyNumberFormat="1" applyFont="1" applyFill="1" applyBorder="1" applyAlignment="1">
      <alignment horizontal="center" vertical="center"/>
    </xf>
    <xf numFmtId="1" fontId="3" fillId="2" borderId="42" xfId="0" applyNumberFormat="1" applyFont="1" applyFill="1" applyBorder="1" applyAlignment="1">
      <alignment horizontal="center" vertical="center"/>
    </xf>
    <xf numFmtId="11" fontId="3" fillId="2" borderId="49" xfId="0" applyNumberFormat="1" applyFont="1" applyFill="1" applyBorder="1" applyAlignment="1">
      <alignment horizontal="center" vertical="center"/>
    </xf>
    <xf numFmtId="11" fontId="3" fillId="2" borderId="10" xfId="0" applyNumberFormat="1" applyFont="1" applyFill="1" applyBorder="1" applyAlignment="1">
      <alignment horizontal="center" vertical="center"/>
    </xf>
    <xf numFmtId="11" fontId="0" fillId="2" borderId="9" xfId="0" applyNumberFormat="1" applyFill="1" applyBorder="1" applyAlignment="1">
      <alignment horizontal="center" vertical="center"/>
    </xf>
    <xf numFmtId="11" fontId="0" fillId="2" borderId="29" xfId="0" applyNumberFormat="1" applyFill="1" applyBorder="1" applyAlignment="1">
      <alignment horizontal="center" vertical="center"/>
    </xf>
    <xf numFmtId="170" fontId="3" fillId="9" borderId="8" xfId="0" applyNumberFormat="1"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8" xfId="0" applyFont="1" applyFill="1" applyBorder="1" applyAlignment="1">
      <alignment horizontal="center" vertical="center"/>
    </xf>
    <xf numFmtId="0" fontId="6" fillId="8" borderId="49" xfId="0" applyFont="1" applyFill="1" applyBorder="1" applyAlignment="1">
      <alignment horizontal="center" wrapText="1"/>
    </xf>
    <xf numFmtId="0" fontId="6" fillId="8" borderId="10" xfId="0" applyFont="1" applyFill="1" applyBorder="1" applyAlignment="1">
      <alignment horizontal="center" wrapText="1"/>
    </xf>
    <xf numFmtId="0" fontId="3" fillId="9" borderId="49" xfId="0" applyFont="1" applyFill="1" applyBorder="1" applyAlignment="1">
      <alignment horizontal="center" vertical="center" wrapText="1"/>
    </xf>
    <xf numFmtId="0" fontId="3" fillId="9" borderId="10" xfId="0" applyFont="1" applyFill="1" applyBorder="1" applyAlignment="1">
      <alignment horizontal="center" vertical="center" wrapText="1"/>
    </xf>
    <xf numFmtId="164" fontId="3" fillId="2" borderId="49" xfId="0" applyNumberFormat="1" applyFont="1" applyFill="1" applyBorder="1" applyAlignment="1">
      <alignment horizontal="center" vertical="center"/>
    </xf>
    <xf numFmtId="164" fontId="3" fillId="2" borderId="10" xfId="0" applyNumberFormat="1" applyFont="1" applyFill="1" applyBorder="1" applyAlignment="1">
      <alignment horizontal="center" vertical="center"/>
    </xf>
    <xf numFmtId="0" fontId="3" fillId="9" borderId="10" xfId="0" applyFont="1" applyFill="1" applyBorder="1" applyAlignment="1">
      <alignment horizontal="center" vertical="center"/>
    </xf>
    <xf numFmtId="0" fontId="16" fillId="9" borderId="8" xfId="0" applyFont="1" applyFill="1" applyBorder="1" applyAlignment="1">
      <alignment horizontal="center" vertical="center" wrapText="1"/>
    </xf>
    <xf numFmtId="1" fontId="3" fillId="2" borderId="49" xfId="0" applyNumberFormat="1" applyFont="1" applyFill="1" applyBorder="1" applyAlignment="1">
      <alignment horizontal="center" vertical="center"/>
    </xf>
    <xf numFmtId="0" fontId="3" fillId="9" borderId="8" xfId="0" applyFont="1" applyFill="1" applyBorder="1" applyAlignment="1">
      <alignment horizontal="center" vertical="top" wrapText="1"/>
    </xf>
    <xf numFmtId="2" fontId="3" fillId="2" borderId="49" xfId="0" applyNumberFormat="1" applyFont="1" applyFill="1" applyBorder="1" applyAlignment="1">
      <alignment horizontal="center" vertical="center"/>
    </xf>
    <xf numFmtId="0" fontId="6" fillId="8" borderId="24" xfId="0" applyFont="1" applyFill="1" applyBorder="1" applyAlignment="1">
      <alignment horizontal="center" vertical="center" wrapText="1"/>
    </xf>
    <xf numFmtId="0" fontId="7" fillId="8" borderId="49" xfId="0" applyFont="1" applyFill="1" applyBorder="1" applyAlignment="1">
      <alignment horizontal="center" vertical="center" wrapText="1"/>
    </xf>
    <xf numFmtId="0" fontId="6" fillId="8" borderId="49" xfId="0" applyFont="1" applyFill="1" applyBorder="1" applyAlignment="1">
      <alignment horizontal="center" vertical="center"/>
    </xf>
    <xf numFmtId="0" fontId="6" fillId="8" borderId="10" xfId="0" applyFont="1" applyFill="1" applyBorder="1" applyAlignment="1">
      <alignment horizontal="center" vertical="center"/>
    </xf>
    <xf numFmtId="2" fontId="3" fillId="2" borderId="8" xfId="0" applyNumberFormat="1" applyFont="1" applyFill="1" applyBorder="1" applyAlignment="1">
      <alignment horizontal="center" vertical="center"/>
    </xf>
    <xf numFmtId="0" fontId="7" fillId="8" borderId="49" xfId="0" applyFont="1" applyFill="1" applyBorder="1" applyAlignment="1">
      <alignment horizontal="center" vertical="center"/>
    </xf>
    <xf numFmtId="0" fontId="3" fillId="9" borderId="49" xfId="0" applyFont="1" applyFill="1" applyBorder="1" applyAlignment="1">
      <alignment horizontal="center" vertical="top" wrapText="1"/>
    </xf>
    <xf numFmtId="0" fontId="3" fillId="9" borderId="10" xfId="0" applyFont="1" applyFill="1" applyBorder="1" applyAlignment="1">
      <alignment horizontal="center" vertical="top" wrapText="1"/>
    </xf>
    <xf numFmtId="167" fontId="3" fillId="2" borderId="49" xfId="0" applyNumberFormat="1" applyFont="1" applyFill="1" applyBorder="1" applyAlignment="1">
      <alignment horizontal="center" vertical="center"/>
    </xf>
    <xf numFmtId="167" fontId="3" fillId="2" borderId="10" xfId="0" applyNumberFormat="1" applyFont="1" applyFill="1" applyBorder="1" applyAlignment="1">
      <alignment horizontal="center" vertical="center"/>
    </xf>
    <xf numFmtId="0" fontId="3" fillId="2" borderId="8" xfId="0" applyFont="1" applyFill="1" applyBorder="1" applyAlignment="1">
      <alignment horizontal="center" vertical="center" wrapText="1"/>
    </xf>
    <xf numFmtId="0" fontId="6" fillId="8" borderId="8" xfId="0" applyFont="1" applyFill="1" applyBorder="1" applyAlignment="1">
      <alignment horizontal="center" vertical="center"/>
    </xf>
    <xf numFmtId="0" fontId="6" fillId="8" borderId="8"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9"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49" xfId="0" applyFont="1" applyFill="1" applyBorder="1" applyAlignment="1">
      <alignment horizontal="center" vertical="center"/>
    </xf>
    <xf numFmtId="1" fontId="3" fillId="2" borderId="8" xfId="0" applyNumberFormat="1" applyFont="1" applyFill="1" applyBorder="1" applyAlignment="1">
      <alignment horizontal="center" vertical="center"/>
    </xf>
    <xf numFmtId="11" fontId="3" fillId="2" borderId="57" xfId="0" applyNumberFormat="1" applyFont="1" applyFill="1" applyBorder="1" applyAlignment="1">
      <alignment horizontal="center" vertical="center"/>
    </xf>
    <xf numFmtId="11" fontId="0" fillId="2" borderId="16" xfId="0" applyNumberFormat="1" applyFill="1" applyBorder="1" applyAlignment="1">
      <alignment horizontal="center" vertical="center"/>
    </xf>
    <xf numFmtId="11" fontId="3" fillId="2" borderId="18" xfId="0" applyNumberFormat="1" applyFont="1" applyFill="1" applyBorder="1" applyAlignment="1">
      <alignment horizontal="center" vertical="center"/>
    </xf>
    <xf numFmtId="0" fontId="3" fillId="2" borderId="31" xfId="0" applyFont="1" applyFill="1" applyBorder="1" applyAlignment="1">
      <alignment horizontal="center" vertical="center"/>
    </xf>
    <xf numFmtId="2" fontId="3" fillId="2" borderId="68" xfId="0" applyNumberFormat="1" applyFont="1" applyFill="1" applyBorder="1" applyAlignment="1">
      <alignment horizontal="center" vertical="center"/>
    </xf>
    <xf numFmtId="0" fontId="7" fillId="9" borderId="8" xfId="0" applyFont="1" applyFill="1" applyBorder="1" applyAlignment="1">
      <alignment horizontal="center" vertical="center" wrapText="1"/>
    </xf>
    <xf numFmtId="0" fontId="7" fillId="9" borderId="8" xfId="0" quotePrefix="1" applyFont="1" applyFill="1" applyBorder="1" applyAlignment="1">
      <alignment horizontal="center" vertical="center" wrapText="1"/>
    </xf>
    <xf numFmtId="0" fontId="16" fillId="9" borderId="8" xfId="0" quotePrefix="1" applyFont="1" applyFill="1" applyBorder="1" applyAlignment="1">
      <alignment horizontal="center" vertical="center" wrapText="1"/>
    </xf>
    <xf numFmtId="0" fontId="6" fillId="9" borderId="8" xfId="0" applyFont="1" applyFill="1" applyBorder="1" applyAlignment="1">
      <alignment horizontal="center" vertical="center" wrapText="1"/>
    </xf>
    <xf numFmtId="0" fontId="7" fillId="8" borderId="24" xfId="0" applyFont="1" applyFill="1" applyBorder="1" applyAlignment="1">
      <alignment horizontal="center" vertical="center" wrapText="1"/>
    </xf>
    <xf numFmtId="1" fontId="3" fillId="2" borderId="10" xfId="0" quotePrefix="1" applyNumberFormat="1" applyFont="1" applyFill="1" applyBorder="1" applyAlignment="1">
      <alignment horizontal="center" vertical="center"/>
    </xf>
    <xf numFmtId="0" fontId="6" fillId="8" borderId="8" xfId="0" applyFont="1" applyFill="1" applyBorder="1" applyAlignment="1">
      <alignment horizontal="center" wrapText="1"/>
    </xf>
    <xf numFmtId="0" fontId="3" fillId="7" borderId="13"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64" xfId="0" applyFont="1" applyFill="1" applyBorder="1" applyAlignment="1">
      <alignment horizontal="center" vertical="center"/>
    </xf>
    <xf numFmtId="0" fontId="9" fillId="6" borderId="18"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3" fillId="7" borderId="14" xfId="0" applyFont="1" applyFill="1" applyBorder="1" applyAlignment="1">
      <alignment horizontal="center" vertical="center"/>
    </xf>
    <xf numFmtId="0" fontId="3" fillId="7" borderId="28" xfId="0" applyFont="1" applyFill="1" applyBorder="1" applyAlignment="1">
      <alignment horizontal="center" vertical="center"/>
    </xf>
    <xf numFmtId="0" fontId="6" fillId="4" borderId="13" xfId="0" applyFont="1" applyFill="1" applyBorder="1" applyAlignment="1">
      <alignment horizontal="center" wrapText="1"/>
    </xf>
    <xf numFmtId="0" fontId="6" fillId="4" borderId="20" xfId="0" applyFont="1" applyFill="1" applyBorder="1" applyAlignment="1">
      <alignment horizontal="center" wrapText="1"/>
    </xf>
    <xf numFmtId="0" fontId="6" fillId="4" borderId="64" xfId="0" applyFont="1" applyFill="1" applyBorder="1" applyAlignment="1">
      <alignment horizontal="center" wrapText="1"/>
    </xf>
    <xf numFmtId="0" fontId="6" fillId="4" borderId="57" xfId="0" applyFont="1" applyFill="1" applyBorder="1" applyAlignment="1">
      <alignment horizontal="center" wrapText="1"/>
    </xf>
    <xf numFmtId="0" fontId="6" fillId="4" borderId="58" xfId="0" applyFont="1" applyFill="1" applyBorder="1" applyAlignment="1">
      <alignment horizontal="center" wrapText="1"/>
    </xf>
    <xf numFmtId="0" fontId="6" fillId="4" borderId="59" xfId="0" applyFont="1" applyFill="1" applyBorder="1" applyAlignment="1">
      <alignment horizontal="center" wrapText="1"/>
    </xf>
    <xf numFmtId="0" fontId="6" fillId="4" borderId="18" xfId="0" applyFont="1" applyFill="1" applyBorder="1" applyAlignment="1">
      <alignment horizontal="center" wrapText="1"/>
    </xf>
    <xf numFmtId="0" fontId="6" fillId="4" borderId="24" xfId="0" applyFont="1" applyFill="1" applyBorder="1" applyAlignment="1">
      <alignment horizontal="center" wrapText="1"/>
    </xf>
    <xf numFmtId="0" fontId="6" fillId="4" borderId="31" xfId="0" applyFont="1" applyFill="1" applyBorder="1" applyAlignment="1">
      <alignment horizontal="center" wrapText="1"/>
    </xf>
    <xf numFmtId="0" fontId="9" fillId="6" borderId="13"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64"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3" fillId="7" borderId="21" xfId="0" applyFont="1" applyFill="1" applyBorder="1" applyAlignment="1">
      <alignment horizontal="center" vertical="center"/>
    </xf>
    <xf numFmtId="0" fontId="7" fillId="4" borderId="51"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43" xfId="0" applyFont="1" applyFill="1" applyBorder="1" applyAlignment="1">
      <alignment horizontal="center"/>
    </xf>
    <xf numFmtId="0" fontId="6" fillId="4" borderId="44" xfId="0" applyFont="1" applyFill="1" applyBorder="1" applyAlignment="1">
      <alignment horizontal="center"/>
    </xf>
    <xf numFmtId="0" fontId="6" fillId="4" borderId="45" xfId="0" applyFont="1" applyFill="1" applyBorder="1" applyAlignment="1">
      <alignment horizontal="center"/>
    </xf>
    <xf numFmtId="0" fontId="7" fillId="4" borderId="46"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6" fillId="4" borderId="60" xfId="0" applyFont="1" applyFill="1" applyBorder="1" applyAlignment="1">
      <alignment horizontal="center"/>
    </xf>
    <xf numFmtId="0" fontId="6" fillId="4" borderId="33" xfId="0" applyFont="1" applyFill="1" applyBorder="1" applyAlignment="1">
      <alignment horizontal="center"/>
    </xf>
    <xf numFmtId="0" fontId="11" fillId="4" borderId="12"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71" xfId="0" applyFont="1" applyFill="1" applyBorder="1" applyAlignment="1">
      <alignment horizontal="center"/>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 fillId="4" borderId="3" xfId="0" applyFont="1" applyFill="1" applyBorder="1" applyAlignment="1">
      <alignment horizontal="center" vertical="center"/>
    </xf>
    <xf numFmtId="0" fontId="1" fillId="4" borderId="46" xfId="0" applyFont="1" applyFill="1" applyBorder="1" applyAlignment="1">
      <alignment horizontal="center" vertical="center"/>
    </xf>
    <xf numFmtId="0" fontId="1" fillId="4" borderId="47"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43" xfId="0" applyFont="1" applyFill="1" applyBorder="1" applyAlignment="1">
      <alignment horizontal="center" vertical="center"/>
    </xf>
    <xf numFmtId="0" fontId="1" fillId="4" borderId="44" xfId="0" applyFont="1" applyFill="1" applyBorder="1" applyAlignment="1">
      <alignment horizontal="center" vertical="center"/>
    </xf>
    <xf numFmtId="0" fontId="1" fillId="4" borderId="45" xfId="0" applyFont="1" applyFill="1" applyBorder="1" applyAlignment="1">
      <alignment horizontal="center" vertical="center"/>
    </xf>
    <xf numFmtId="0" fontId="1" fillId="10" borderId="12" xfId="0" applyFont="1" applyFill="1" applyBorder="1" applyAlignment="1">
      <alignment horizontal="center" wrapText="1"/>
    </xf>
    <xf numFmtId="0" fontId="1" fillId="10" borderId="15" xfId="0" applyFont="1" applyFill="1" applyBorder="1" applyAlignment="1">
      <alignment horizontal="center" wrapText="1"/>
    </xf>
    <xf numFmtId="0" fontId="1" fillId="10" borderId="55" xfId="0" applyFont="1" applyFill="1" applyBorder="1" applyAlignment="1">
      <alignment horizontal="center" wrapText="1"/>
    </xf>
    <xf numFmtId="0" fontId="1" fillId="10" borderId="57" xfId="0" applyFont="1" applyFill="1" applyBorder="1" applyAlignment="1">
      <alignment horizontal="center" wrapText="1"/>
    </xf>
    <xf numFmtId="0" fontId="1" fillId="10" borderId="18" xfId="0" applyFont="1" applyFill="1" applyBorder="1" applyAlignment="1">
      <alignment horizontal="center" wrapText="1"/>
    </xf>
    <xf numFmtId="0" fontId="1" fillId="10" borderId="14" xfId="0" applyFont="1" applyFill="1" applyBorder="1" applyAlignment="1">
      <alignment horizontal="center" wrapText="1"/>
    </xf>
    <xf numFmtId="0" fontId="0" fillId="2" borderId="15" xfId="0" applyFill="1" applyBorder="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left" wrapText="1"/>
    </xf>
    <xf numFmtId="0" fontId="26" fillId="0" borderId="13" xfId="1" applyFont="1" applyBorder="1" applyAlignment="1">
      <alignment horizontal="left" vertical="center" wrapText="1"/>
    </xf>
    <xf numFmtId="0" fontId="26" fillId="0" borderId="64" xfId="1" applyFont="1" applyBorder="1" applyAlignment="1">
      <alignment horizontal="left" vertical="center" wrapText="1"/>
    </xf>
  </cellXfs>
  <cellStyles count="5">
    <cellStyle name="Comma" xfId="2" builtinId="3"/>
    <cellStyle name="Hyperlink" xfId="4" builtinId="8"/>
    <cellStyle name="Normal" xfId="0" builtinId="0"/>
    <cellStyle name="Normal 2" xfId="1" xr:uid="{E06B63B1-2CAA-4539-A8C7-C36952923D05}"/>
    <cellStyle name="Percent" xfId="3" builtinId="5"/>
  </cellStyles>
  <dxfs count="1838">
    <dxf>
      <numFmt numFmtId="4" formatCode="#,##0.00"/>
    </dxf>
    <dxf>
      <numFmt numFmtId="165" formatCode="0.000"/>
    </dxf>
    <dxf>
      <numFmt numFmtId="15" formatCode="0.00E+00"/>
    </dxf>
    <dxf>
      <numFmt numFmtId="164" formatCode="0.0E+00"/>
    </dxf>
    <dxf>
      <numFmt numFmtId="3" formatCode="#,##0"/>
    </dxf>
    <dxf>
      <numFmt numFmtId="167" formatCode="0.0"/>
    </dxf>
    <dxf>
      <numFmt numFmtId="2" formatCode="0.00"/>
    </dxf>
    <dxf>
      <numFmt numFmtId="164" formatCode="0.0E+00"/>
    </dxf>
    <dxf>
      <numFmt numFmtId="4" formatCode="#,##0.00"/>
    </dxf>
    <dxf>
      <numFmt numFmtId="165" formatCode="0.000"/>
    </dxf>
    <dxf>
      <numFmt numFmtId="15" formatCode="0.00E+00"/>
    </dxf>
    <dxf>
      <numFmt numFmtId="15" formatCode="0.00E+00"/>
    </dxf>
    <dxf>
      <numFmt numFmtId="4" formatCode="#,##0.00"/>
    </dxf>
    <dxf>
      <numFmt numFmtId="165" formatCode="0.000"/>
    </dxf>
    <dxf>
      <numFmt numFmtId="167" formatCode="0.0"/>
    </dxf>
    <dxf>
      <numFmt numFmtId="164" formatCode="0.0E+00"/>
    </dxf>
    <dxf>
      <numFmt numFmtId="3" formatCode="#,##0"/>
    </dxf>
    <dxf>
      <numFmt numFmtId="2" formatCode="0.00"/>
    </dxf>
    <dxf>
      <numFmt numFmtId="164" formatCode="0.0E+00"/>
    </dxf>
    <dxf>
      <numFmt numFmtId="3" formatCode="#,##0"/>
    </dxf>
    <dxf>
      <numFmt numFmtId="164" formatCode="0.0E+00"/>
    </dxf>
    <dxf>
      <numFmt numFmtId="164" formatCode="0.0E+00"/>
    </dxf>
    <dxf>
      <numFmt numFmtId="2" formatCode="0.00"/>
    </dxf>
    <dxf>
      <numFmt numFmtId="167" formatCode="0.0"/>
    </dxf>
    <dxf>
      <numFmt numFmtId="164" formatCode="0.0E+00"/>
    </dxf>
    <dxf>
      <numFmt numFmtId="2" formatCode="0.00"/>
    </dxf>
    <dxf>
      <numFmt numFmtId="167" formatCode="0.0"/>
    </dxf>
    <dxf>
      <numFmt numFmtId="3" formatCode="#,##0"/>
    </dxf>
    <dxf>
      <numFmt numFmtId="164" formatCode="0.0E+00"/>
    </dxf>
    <dxf>
      <numFmt numFmtId="2" formatCode="0.00"/>
    </dxf>
    <dxf>
      <numFmt numFmtId="164" formatCode="0.0E+00"/>
    </dxf>
    <dxf>
      <numFmt numFmtId="3" formatCode="#,##0"/>
    </dxf>
    <dxf>
      <numFmt numFmtId="167" formatCode="0.0"/>
    </dxf>
    <dxf>
      <numFmt numFmtId="164" formatCode="0.0E+00"/>
    </dxf>
    <dxf>
      <numFmt numFmtId="164" formatCode="0.0E+00"/>
    </dxf>
    <dxf>
      <numFmt numFmtId="2" formatCode="0.00"/>
    </dxf>
    <dxf>
      <numFmt numFmtId="167" formatCode="0.0"/>
    </dxf>
    <dxf>
      <numFmt numFmtId="3" formatCode="#,##0"/>
    </dxf>
    <dxf>
      <numFmt numFmtId="164" formatCode="0.0E+00"/>
    </dxf>
    <dxf>
      <numFmt numFmtId="164" formatCode="0.0E+00"/>
    </dxf>
    <dxf>
      <numFmt numFmtId="172" formatCode="#,##0.0"/>
    </dxf>
    <dxf>
      <numFmt numFmtId="2" formatCode="0.00"/>
    </dxf>
    <dxf>
      <numFmt numFmtId="2" formatCode="0.00"/>
    </dxf>
    <dxf>
      <numFmt numFmtId="164" formatCode="0.0E+00"/>
    </dxf>
    <dxf>
      <numFmt numFmtId="172" formatCode="#,##0.0"/>
    </dxf>
    <dxf>
      <numFmt numFmtId="165" formatCode="0.000"/>
    </dxf>
    <dxf>
      <numFmt numFmtId="164" formatCode="0.0E+00"/>
    </dxf>
    <dxf>
      <numFmt numFmtId="4" formatCode="#,##0.00"/>
    </dxf>
    <dxf>
      <numFmt numFmtId="164" formatCode="0.0E+00"/>
    </dxf>
    <dxf>
      <numFmt numFmtId="165" formatCode="0.000"/>
    </dxf>
    <dxf>
      <numFmt numFmtId="4" formatCode="#,##0.00"/>
    </dxf>
    <dxf>
      <numFmt numFmtId="15" formatCode="0.00E+00"/>
    </dxf>
    <dxf>
      <numFmt numFmtId="165" formatCode="0.000"/>
    </dxf>
    <dxf>
      <numFmt numFmtId="4" formatCode="#,##0.00"/>
    </dxf>
    <dxf>
      <numFmt numFmtId="3" formatCode="#,##0"/>
    </dxf>
    <dxf>
      <numFmt numFmtId="172" formatCode="#,##0.0"/>
    </dxf>
    <dxf>
      <numFmt numFmtId="164" formatCode="0.0E+00"/>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164" formatCode="0.0E+00"/>
    </dxf>
    <dxf>
      <fill>
        <patternFill>
          <bgColor theme="0"/>
        </patternFill>
      </fill>
    </dxf>
    <dxf>
      <fill>
        <patternFill>
          <bgColor rgb="FFC00000"/>
        </patternFill>
      </fill>
    </dxf>
    <dxf>
      <numFmt numFmtId="3" formatCode="#,##0"/>
    </dxf>
    <dxf>
      <numFmt numFmtId="0" formatCode="General"/>
      <fill>
        <patternFill>
          <bgColor rgb="FF00B050"/>
        </patternFill>
      </fill>
    </dxf>
    <dxf>
      <fill>
        <patternFill>
          <bgColor rgb="FFC00000"/>
        </patternFill>
      </fill>
    </dxf>
    <dxf>
      <numFmt numFmtId="172" formatCode="#,##0.0"/>
    </dxf>
    <dxf>
      <numFmt numFmtId="4" formatCode="#,##0.00"/>
    </dxf>
    <dxf>
      <fill>
        <patternFill>
          <bgColor theme="0"/>
        </patternFill>
      </fill>
    </dxf>
    <dxf>
      <numFmt numFmtId="164" formatCode="0.0E+00"/>
    </dxf>
    <dxf>
      <numFmt numFmtId="3" formatCode="#,##0"/>
    </dxf>
    <dxf>
      <numFmt numFmtId="164" formatCode="0.0E+00"/>
    </dxf>
    <dxf>
      <numFmt numFmtId="0" formatCode="General"/>
      <fill>
        <patternFill>
          <bgColor rgb="FF00B050"/>
        </patternFill>
      </fill>
    </dxf>
    <dxf>
      <fill>
        <patternFill>
          <bgColor rgb="FFC00000"/>
        </patternFill>
      </fill>
    </dxf>
    <dxf>
      <numFmt numFmtId="164" formatCode="0.0E+00"/>
    </dxf>
    <dxf>
      <numFmt numFmtId="3" formatCode="#,##0"/>
    </dxf>
    <dxf>
      <numFmt numFmtId="172" formatCode="#,##0.0"/>
    </dxf>
    <dxf>
      <numFmt numFmtId="4" formatCode="#,##0.00"/>
    </dxf>
    <dxf>
      <numFmt numFmtId="164" formatCode="0.0E+00"/>
    </dxf>
    <dxf>
      <fill>
        <patternFill>
          <bgColor theme="0"/>
        </patternFill>
      </fill>
    </dxf>
    <dxf>
      <font>
        <color theme="0"/>
      </font>
    </dxf>
    <dxf>
      <numFmt numFmtId="172" formatCode="#,##0.0"/>
    </dxf>
    <dxf>
      <numFmt numFmtId="15" formatCode="0.00E+00"/>
    </dxf>
    <dxf>
      <numFmt numFmtId="2" formatCode="0.00"/>
    </dxf>
    <dxf>
      <numFmt numFmtId="167" formatCode="0.0"/>
    </dxf>
    <dxf>
      <numFmt numFmtId="164" formatCode="0.0E+00"/>
    </dxf>
    <dxf>
      <font>
        <color theme="0"/>
      </font>
    </dxf>
    <dxf>
      <fill>
        <patternFill>
          <bgColor theme="0"/>
        </patternFill>
      </fill>
    </dxf>
    <dxf>
      <numFmt numFmtId="4" formatCode="#,##0.00"/>
    </dxf>
    <dxf>
      <numFmt numFmtId="172" formatCode="#,##0.0"/>
    </dxf>
    <dxf>
      <numFmt numFmtId="3" formatCode="#,##0"/>
    </dxf>
    <dxf>
      <numFmt numFmtId="164" formatCode="0.0E+00"/>
    </dxf>
    <dxf>
      <numFmt numFmtId="164" formatCode="0.0E+00"/>
    </dxf>
    <dxf>
      <font>
        <color rgb="FFFF0000"/>
      </font>
      <fill>
        <patternFill>
          <bgColor rgb="FFFCAAAA"/>
        </patternFill>
      </fill>
    </dxf>
    <dxf>
      <fill>
        <patternFill>
          <bgColor theme="0"/>
        </patternFill>
      </fill>
    </dxf>
    <dxf>
      <numFmt numFmtId="164" formatCode="0.0E+00"/>
    </dxf>
    <dxf>
      <font>
        <color rgb="FFFF0000"/>
      </font>
      <fill>
        <patternFill>
          <bgColor rgb="FFFFBDBD"/>
        </patternFill>
      </fill>
    </dxf>
    <dxf>
      <numFmt numFmtId="3" formatCode="#,##0"/>
    </dxf>
    <dxf>
      <numFmt numFmtId="172" formatCode="#,##0.0"/>
    </dxf>
    <dxf>
      <numFmt numFmtId="4" formatCode="#,##0.00"/>
    </dxf>
    <dxf>
      <numFmt numFmtId="164" formatCode="0.0E+00"/>
    </dxf>
    <dxf>
      <numFmt numFmtId="164" formatCode="0.0E+00"/>
    </dxf>
    <dxf>
      <numFmt numFmtId="164" formatCode="0.0E+00"/>
    </dxf>
    <dxf>
      <numFmt numFmtId="3" formatCode="#,##0"/>
    </dxf>
    <dxf>
      <numFmt numFmtId="172" formatCode="#,##0.0"/>
    </dxf>
    <dxf>
      <numFmt numFmtId="4" formatCode="#,##0.00"/>
    </dxf>
    <dxf>
      <fill>
        <patternFill>
          <bgColor theme="0"/>
        </patternFill>
      </fill>
    </dxf>
    <dxf>
      <fill>
        <patternFill>
          <bgColor rgb="FFC00000"/>
        </patternFill>
      </fill>
    </dxf>
    <dxf>
      <fill>
        <patternFill>
          <bgColor rgb="FFC00000"/>
        </patternFill>
      </fill>
    </dxf>
    <dxf>
      <fill>
        <patternFill>
          <bgColor rgb="FF00B050"/>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ill>
        <patternFill>
          <bgColor rgb="FF00B050"/>
        </patternFill>
      </fill>
    </dxf>
    <dxf>
      <fill>
        <patternFill>
          <bgColor rgb="FFC00000"/>
        </patternFill>
      </fill>
    </dxf>
    <dxf>
      <fill>
        <patternFill>
          <bgColor rgb="FFC00000"/>
        </patternFill>
      </fill>
    </dxf>
    <dxf>
      <fill>
        <patternFill>
          <bgColor theme="0"/>
        </patternFill>
      </fill>
    </dxf>
    <dxf>
      <numFmt numFmtId="4" formatCode="#,##0.00"/>
    </dxf>
    <dxf>
      <numFmt numFmtId="172" formatCode="#,##0.0"/>
    </dxf>
    <dxf>
      <numFmt numFmtId="167" formatCode="0.0"/>
    </dxf>
    <dxf>
      <numFmt numFmtId="172" formatCode="#,##0.0"/>
    </dxf>
    <dxf>
      <numFmt numFmtId="172" formatCode="#,##0.0"/>
    </dxf>
    <dxf>
      <numFmt numFmtId="164" formatCode="0.0E+00"/>
    </dxf>
    <dxf>
      <numFmt numFmtId="3" formatCode="#,##0"/>
    </dxf>
    <dxf>
      <numFmt numFmtId="164" formatCode="0.0E+00"/>
    </dxf>
    <dxf>
      <numFmt numFmtId="4" formatCode="#,##0.00"/>
    </dxf>
    <dxf>
      <fill>
        <patternFill>
          <bgColor theme="0"/>
        </patternFill>
      </fill>
    </dxf>
    <dxf>
      <font>
        <color theme="0"/>
      </font>
    </dxf>
    <dxf>
      <numFmt numFmtId="15" formatCode="0.00E+00"/>
    </dxf>
    <dxf>
      <numFmt numFmtId="2" formatCode="0.00"/>
    </dxf>
    <dxf>
      <numFmt numFmtId="164" formatCode="0.0E+00"/>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fill>
        <patternFill>
          <bgColor theme="0"/>
        </patternFill>
      </fill>
    </dxf>
    <dxf>
      <fill>
        <patternFill>
          <bgColor rgb="FFC00000"/>
        </patternFill>
      </fill>
    </dxf>
    <dxf>
      <numFmt numFmtId="3" formatCode="#,##0"/>
    </dxf>
    <dxf>
      <numFmt numFmtId="172" formatCode="#,##0.0"/>
    </dxf>
    <dxf>
      <fill>
        <patternFill>
          <bgColor rgb="FFC00000"/>
        </patternFill>
      </fill>
    </dxf>
    <dxf>
      <numFmt numFmtId="0" formatCode="General"/>
      <fill>
        <patternFill>
          <bgColor rgb="FF00B050"/>
        </patternFill>
      </fill>
    </dxf>
    <dxf>
      <numFmt numFmtId="164" formatCode="0.0E+00"/>
    </dxf>
    <dxf>
      <numFmt numFmtId="3" formatCode="#,##0"/>
    </dxf>
    <dxf>
      <numFmt numFmtId="164" formatCode="0.0E+00"/>
    </dxf>
    <dxf>
      <fill>
        <patternFill>
          <bgColor theme="0"/>
        </patternFill>
      </fill>
    </dxf>
    <dxf>
      <numFmt numFmtId="4" formatCode="#,##0.00"/>
    </dxf>
    <dxf>
      <numFmt numFmtId="172" formatCode="#,##0.0"/>
    </dxf>
    <dxf>
      <numFmt numFmtId="0" formatCode="General"/>
      <fill>
        <patternFill>
          <bgColor rgb="FF00B050"/>
        </patternFill>
      </fill>
    </dxf>
    <dxf>
      <fill>
        <patternFill>
          <bgColor rgb="FFC00000"/>
        </patternFill>
      </fill>
    </dxf>
    <dxf>
      <numFmt numFmtId="164" formatCode="0.0E+00"/>
    </dxf>
    <dxf>
      <fill>
        <patternFill>
          <bgColor theme="0"/>
        </patternFill>
      </fill>
    </dxf>
    <dxf>
      <font>
        <color theme="0"/>
      </font>
    </dxf>
    <dxf>
      <numFmt numFmtId="15" formatCode="0.00E+00"/>
    </dxf>
    <dxf>
      <numFmt numFmtId="2" formatCode="0.00"/>
    </dxf>
    <dxf>
      <numFmt numFmtId="164" formatCode="0.0E+00"/>
    </dxf>
    <dxf>
      <numFmt numFmtId="172" formatCode="#,##0.0"/>
    </dxf>
    <dxf>
      <numFmt numFmtId="164" formatCode="0.0E+00"/>
    </dxf>
    <dxf>
      <numFmt numFmtId="167" formatCode="0.0"/>
    </dxf>
    <dxf>
      <numFmt numFmtId="4" formatCode="#,##0.00"/>
    </dxf>
    <dxf>
      <numFmt numFmtId="172" formatCode="#,##0.0"/>
    </dxf>
    <dxf>
      <numFmt numFmtId="3" formatCode="#,##0"/>
    </dxf>
    <dxf>
      <numFmt numFmtId="164" formatCode="0.0E+00"/>
    </dxf>
    <dxf>
      <numFmt numFmtId="3" formatCode="#,##0"/>
    </dxf>
    <dxf>
      <numFmt numFmtId="164" formatCode="0.0E+00"/>
    </dxf>
    <dxf>
      <fill>
        <patternFill>
          <bgColor rgb="FFC00000"/>
        </patternFill>
      </fill>
    </dxf>
    <dxf>
      <fill>
        <patternFill>
          <bgColor theme="0"/>
        </patternFill>
      </fill>
    </dxf>
    <dxf>
      <numFmt numFmtId="4" formatCode="#,##0.00"/>
    </dxf>
    <dxf>
      <numFmt numFmtId="172" formatCode="#,##0.0"/>
    </dxf>
    <dxf>
      <numFmt numFmtId="164" formatCode="0.0E+00"/>
    </dxf>
    <dxf>
      <fill>
        <patternFill>
          <bgColor theme="0"/>
        </patternFill>
      </fill>
    </dxf>
    <dxf>
      <font>
        <color theme="0"/>
      </font>
    </dxf>
    <dxf>
      <numFmt numFmtId="4" formatCode="#,##0.00"/>
    </dxf>
    <dxf>
      <numFmt numFmtId="3" formatCode="#,##0"/>
    </dxf>
    <dxf>
      <numFmt numFmtId="172" formatCode="#,##0.0"/>
    </dxf>
    <dxf>
      <numFmt numFmtId="164" formatCode="0.0E+00"/>
    </dxf>
    <dxf>
      <font>
        <color rgb="FFFF0000"/>
      </font>
      <fill>
        <patternFill>
          <bgColor rgb="FFFCAAAA"/>
        </patternFill>
      </fill>
    </dxf>
    <dxf>
      <numFmt numFmtId="164" formatCode="0.0E+00"/>
    </dxf>
    <dxf>
      <numFmt numFmtId="3" formatCode="#,##0"/>
    </dxf>
    <dxf>
      <numFmt numFmtId="172" formatCode="#,##0.0"/>
    </dxf>
    <dxf>
      <numFmt numFmtId="4" formatCode="#,##0.00"/>
    </dxf>
    <dxf>
      <numFmt numFmtId="164" formatCode="0.0E+00"/>
    </dxf>
    <dxf>
      <fill>
        <patternFill>
          <bgColor theme="0"/>
        </patternFill>
      </fill>
    </dxf>
    <dxf>
      <font>
        <color rgb="FFFF0000"/>
      </font>
      <fill>
        <patternFill>
          <bgColor rgb="FFFFBDBD"/>
        </patternFill>
      </fill>
    </dxf>
    <dxf>
      <numFmt numFmtId="172" formatCode="#,##0.0"/>
    </dxf>
    <dxf>
      <fill>
        <patternFill>
          <bgColor rgb="FFC00000"/>
        </patternFill>
      </fill>
    </dxf>
    <dxf>
      <fill>
        <patternFill>
          <bgColor theme="0"/>
        </patternFill>
      </fill>
    </dxf>
    <dxf>
      <numFmt numFmtId="4" formatCode="#,##0.00"/>
    </dxf>
    <dxf>
      <fill>
        <patternFill>
          <bgColor rgb="FFC00000"/>
        </patternFill>
      </fill>
    </dxf>
    <dxf>
      <fill>
        <patternFill>
          <bgColor rgb="FFC00000"/>
        </patternFill>
      </fill>
    </dxf>
    <dxf>
      <fill>
        <patternFill>
          <bgColor rgb="FF00B050"/>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ill>
        <patternFill>
          <bgColor rgb="FF00B050"/>
        </patternFill>
      </fill>
    </dxf>
    <dxf>
      <numFmt numFmtId="164" formatCode="0.0E+00"/>
    </dxf>
    <dxf>
      <fill>
        <patternFill>
          <bgColor theme="0"/>
        </patternFill>
      </fill>
    </dxf>
    <dxf>
      <fill>
        <patternFill>
          <bgColor rgb="FFC00000"/>
        </patternFill>
      </fill>
    </dxf>
    <dxf>
      <numFmt numFmtId="164" formatCode="0.0E+00"/>
    </dxf>
    <dxf>
      <numFmt numFmtId="3" formatCode="#,##0"/>
    </dxf>
    <dxf>
      <numFmt numFmtId="4" formatCode="#,##0.00"/>
    </dxf>
    <dxf>
      <numFmt numFmtId="172" formatCode="#,##0.0"/>
    </dxf>
    <dxf>
      <fill>
        <patternFill>
          <bgColor theme="0"/>
        </patternFill>
      </fill>
    </dxf>
    <dxf>
      <fill>
        <patternFill>
          <bgColor rgb="FFC00000"/>
        </patternFill>
      </fill>
    </dxf>
    <dxf>
      <fill>
        <patternFill>
          <bgColor rgb="FFC00000"/>
        </patternFill>
      </fill>
    </dxf>
    <dxf>
      <fill>
        <patternFill>
          <bgColor theme="0"/>
        </patternFill>
      </fill>
    </dxf>
    <dxf>
      <font>
        <color theme="0"/>
      </font>
    </dxf>
    <dxf>
      <numFmt numFmtId="15" formatCode="0.00E+00"/>
    </dxf>
    <dxf>
      <numFmt numFmtId="2" formatCode="0.00"/>
    </dxf>
    <dxf>
      <numFmt numFmtId="167" formatCode="0.0"/>
    </dxf>
    <dxf>
      <numFmt numFmtId="172" formatCode="#,##0.0"/>
    </dxf>
    <dxf>
      <numFmt numFmtId="164" formatCode="0.0E+00"/>
    </dxf>
    <dxf>
      <numFmt numFmtId="164" formatCode="0.0E+00"/>
    </dxf>
    <dxf>
      <numFmt numFmtId="3" formatCode="#,##0"/>
    </dxf>
    <dxf>
      <numFmt numFmtId="172" formatCode="#,##0.0"/>
    </dxf>
    <dxf>
      <numFmt numFmtId="4" formatCode="#,##0.00"/>
    </dxf>
    <dxf>
      <numFmt numFmtId="164" formatCode="0.0E+00"/>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fill>
        <patternFill>
          <bgColor theme="0"/>
        </patternFill>
      </fill>
    </dxf>
    <dxf>
      <fill>
        <patternFill>
          <bgColor rgb="FFC00000"/>
        </patternFill>
      </fill>
    </dxf>
    <dxf>
      <numFmt numFmtId="3" formatCode="#,##0"/>
    </dxf>
    <dxf>
      <numFmt numFmtId="172" formatCode="#,##0.0"/>
    </dxf>
    <dxf>
      <fill>
        <patternFill>
          <bgColor rgb="FFC00000"/>
        </patternFill>
      </fill>
    </dxf>
    <dxf>
      <numFmt numFmtId="0" formatCode="General"/>
      <fill>
        <patternFill>
          <bgColor rgb="FF00B050"/>
        </patternFill>
      </fill>
    </dxf>
    <dxf>
      <numFmt numFmtId="164" formatCode="0.0E+00"/>
    </dxf>
    <dxf>
      <numFmt numFmtId="3" formatCode="#,##0"/>
    </dxf>
    <dxf>
      <numFmt numFmtId="164" formatCode="0.0E+00"/>
    </dxf>
    <dxf>
      <fill>
        <patternFill>
          <bgColor theme="0"/>
        </patternFill>
      </fill>
    </dxf>
    <dxf>
      <numFmt numFmtId="4" formatCode="#,##0.00"/>
    </dxf>
    <dxf>
      <numFmt numFmtId="172" formatCode="#,##0.0"/>
    </dxf>
    <dxf>
      <numFmt numFmtId="0" formatCode="General"/>
      <fill>
        <patternFill>
          <bgColor rgb="FF00B050"/>
        </patternFill>
      </fill>
    </dxf>
    <dxf>
      <fill>
        <patternFill>
          <bgColor rgb="FFC00000"/>
        </patternFill>
      </fill>
    </dxf>
    <dxf>
      <numFmt numFmtId="164" formatCode="0.0E+00"/>
    </dxf>
    <dxf>
      <fill>
        <patternFill>
          <bgColor theme="0"/>
        </patternFill>
      </fill>
    </dxf>
    <dxf>
      <font>
        <color theme="0"/>
      </font>
    </dxf>
    <dxf>
      <numFmt numFmtId="15" formatCode="0.00E+00"/>
    </dxf>
    <dxf>
      <numFmt numFmtId="2" formatCode="0.00"/>
    </dxf>
    <dxf>
      <numFmt numFmtId="164" formatCode="0.0E+00"/>
    </dxf>
    <dxf>
      <numFmt numFmtId="172" formatCode="#,##0.0"/>
    </dxf>
    <dxf>
      <numFmt numFmtId="164" formatCode="0.0E+00"/>
    </dxf>
    <dxf>
      <numFmt numFmtId="167" formatCode="0.0"/>
    </dxf>
    <dxf>
      <numFmt numFmtId="4" formatCode="#,##0.00"/>
    </dxf>
    <dxf>
      <numFmt numFmtId="172" formatCode="#,##0.0"/>
    </dxf>
    <dxf>
      <numFmt numFmtId="3" formatCode="#,##0"/>
    </dxf>
    <dxf>
      <numFmt numFmtId="164" formatCode="0.0E+00"/>
    </dxf>
    <dxf>
      <numFmt numFmtId="3" formatCode="#,##0"/>
    </dxf>
    <dxf>
      <numFmt numFmtId="164" formatCode="0.0E+00"/>
    </dxf>
    <dxf>
      <fill>
        <patternFill>
          <bgColor rgb="FFC00000"/>
        </patternFill>
      </fill>
    </dxf>
    <dxf>
      <fill>
        <patternFill>
          <bgColor theme="0"/>
        </patternFill>
      </fill>
    </dxf>
    <dxf>
      <numFmt numFmtId="4" formatCode="#,##0.00"/>
    </dxf>
    <dxf>
      <numFmt numFmtId="172" formatCode="#,##0.0"/>
    </dxf>
    <dxf>
      <numFmt numFmtId="164" formatCode="0.0E+00"/>
    </dxf>
    <dxf>
      <fill>
        <patternFill>
          <bgColor theme="0"/>
        </patternFill>
      </fill>
    </dxf>
    <dxf>
      <font>
        <color theme="0"/>
      </font>
    </dxf>
    <dxf>
      <numFmt numFmtId="4" formatCode="#,##0.00"/>
    </dxf>
    <dxf>
      <numFmt numFmtId="3" formatCode="#,##0"/>
    </dxf>
    <dxf>
      <numFmt numFmtId="172" formatCode="#,##0.0"/>
    </dxf>
    <dxf>
      <numFmt numFmtId="164" formatCode="0.0E+00"/>
    </dxf>
    <dxf>
      <font>
        <color rgb="FFFF0000"/>
      </font>
      <fill>
        <patternFill>
          <bgColor rgb="FFFCAAAA"/>
        </patternFill>
      </fill>
    </dxf>
    <dxf>
      <numFmt numFmtId="164" formatCode="0.0E+00"/>
    </dxf>
    <dxf>
      <numFmt numFmtId="3" formatCode="#,##0"/>
    </dxf>
    <dxf>
      <numFmt numFmtId="172" formatCode="#,##0.0"/>
    </dxf>
    <dxf>
      <numFmt numFmtId="4" formatCode="#,##0.00"/>
    </dxf>
    <dxf>
      <numFmt numFmtId="164" formatCode="0.0E+00"/>
    </dxf>
    <dxf>
      <fill>
        <patternFill>
          <bgColor theme="0"/>
        </patternFill>
      </fill>
    </dxf>
    <dxf>
      <font>
        <color rgb="FFFF0000"/>
      </font>
      <fill>
        <patternFill>
          <bgColor rgb="FFFFBDBD"/>
        </patternFill>
      </fill>
    </dxf>
    <dxf>
      <numFmt numFmtId="172" formatCode="#,##0.0"/>
    </dxf>
    <dxf>
      <fill>
        <patternFill>
          <bgColor rgb="FFC00000"/>
        </patternFill>
      </fill>
    </dxf>
    <dxf>
      <fill>
        <patternFill>
          <bgColor theme="0"/>
        </patternFill>
      </fill>
    </dxf>
    <dxf>
      <numFmt numFmtId="4" formatCode="#,##0.00"/>
    </dxf>
    <dxf>
      <fill>
        <patternFill>
          <bgColor rgb="FFC00000"/>
        </patternFill>
      </fill>
    </dxf>
    <dxf>
      <fill>
        <patternFill>
          <bgColor rgb="FFC00000"/>
        </patternFill>
      </fill>
    </dxf>
    <dxf>
      <fill>
        <patternFill>
          <bgColor rgb="FF00B050"/>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ill>
        <patternFill>
          <bgColor rgb="FF00B050"/>
        </patternFill>
      </fill>
    </dxf>
    <dxf>
      <numFmt numFmtId="164" formatCode="0.0E+00"/>
    </dxf>
    <dxf>
      <fill>
        <patternFill>
          <bgColor theme="0"/>
        </patternFill>
      </fill>
    </dxf>
    <dxf>
      <fill>
        <patternFill>
          <bgColor rgb="FFC00000"/>
        </patternFill>
      </fill>
    </dxf>
    <dxf>
      <numFmt numFmtId="164" formatCode="0.0E+00"/>
    </dxf>
    <dxf>
      <numFmt numFmtId="3" formatCode="#,##0"/>
    </dxf>
    <dxf>
      <numFmt numFmtId="4" formatCode="#,##0.00"/>
    </dxf>
    <dxf>
      <numFmt numFmtId="172" formatCode="#,##0.0"/>
    </dxf>
    <dxf>
      <fill>
        <patternFill>
          <bgColor theme="0"/>
        </patternFill>
      </fill>
    </dxf>
    <dxf>
      <fill>
        <patternFill>
          <bgColor rgb="FFC00000"/>
        </patternFill>
      </fill>
    </dxf>
    <dxf>
      <fill>
        <patternFill>
          <bgColor rgb="FFC00000"/>
        </patternFill>
      </fill>
    </dxf>
    <dxf>
      <fill>
        <patternFill>
          <bgColor theme="0"/>
        </patternFill>
      </fill>
    </dxf>
    <dxf>
      <font>
        <color theme="0"/>
      </font>
    </dxf>
    <dxf>
      <numFmt numFmtId="15" formatCode="0.00E+00"/>
    </dxf>
    <dxf>
      <numFmt numFmtId="2" formatCode="0.00"/>
    </dxf>
    <dxf>
      <numFmt numFmtId="167" formatCode="0.0"/>
    </dxf>
    <dxf>
      <numFmt numFmtId="172" formatCode="#,##0.0"/>
    </dxf>
    <dxf>
      <numFmt numFmtId="164" formatCode="0.0E+00"/>
    </dxf>
    <dxf>
      <numFmt numFmtId="164" formatCode="0.0E+00"/>
    </dxf>
    <dxf>
      <numFmt numFmtId="3" formatCode="#,##0"/>
    </dxf>
    <dxf>
      <numFmt numFmtId="172" formatCode="#,##0.0"/>
    </dxf>
    <dxf>
      <numFmt numFmtId="4" formatCode="#,##0.00"/>
    </dxf>
    <dxf>
      <numFmt numFmtId="164" formatCode="0.0E+00"/>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fill>
        <patternFill>
          <bgColor theme="0"/>
        </patternFill>
      </fill>
    </dxf>
    <dxf>
      <fill>
        <patternFill>
          <bgColor rgb="FFC00000"/>
        </patternFill>
      </fill>
    </dxf>
    <dxf>
      <numFmt numFmtId="3" formatCode="#,##0"/>
    </dxf>
    <dxf>
      <numFmt numFmtId="172" formatCode="#,##0.0"/>
    </dxf>
    <dxf>
      <fill>
        <patternFill>
          <bgColor rgb="FFC00000"/>
        </patternFill>
      </fill>
    </dxf>
    <dxf>
      <numFmt numFmtId="0" formatCode="General"/>
      <fill>
        <patternFill>
          <bgColor rgb="FF00B050"/>
        </patternFill>
      </fill>
    </dxf>
    <dxf>
      <numFmt numFmtId="164" formatCode="0.0E+00"/>
    </dxf>
    <dxf>
      <numFmt numFmtId="3" formatCode="#,##0"/>
    </dxf>
    <dxf>
      <numFmt numFmtId="164" formatCode="0.0E+00"/>
    </dxf>
    <dxf>
      <fill>
        <patternFill>
          <bgColor theme="0"/>
        </patternFill>
      </fill>
    </dxf>
    <dxf>
      <numFmt numFmtId="4" formatCode="#,##0.00"/>
    </dxf>
    <dxf>
      <numFmt numFmtId="172" formatCode="#,##0.0"/>
    </dxf>
    <dxf>
      <numFmt numFmtId="0" formatCode="General"/>
      <fill>
        <patternFill>
          <bgColor rgb="FF00B050"/>
        </patternFill>
      </fill>
    </dxf>
    <dxf>
      <fill>
        <patternFill>
          <bgColor rgb="FFC00000"/>
        </patternFill>
      </fill>
    </dxf>
    <dxf>
      <numFmt numFmtId="164" formatCode="0.0E+00"/>
    </dxf>
    <dxf>
      <fill>
        <patternFill>
          <bgColor theme="0"/>
        </patternFill>
      </fill>
    </dxf>
    <dxf>
      <font>
        <color theme="0"/>
      </font>
    </dxf>
    <dxf>
      <numFmt numFmtId="15" formatCode="0.00E+00"/>
    </dxf>
    <dxf>
      <numFmt numFmtId="2" formatCode="0.00"/>
    </dxf>
    <dxf>
      <numFmt numFmtId="164" formatCode="0.0E+00"/>
    </dxf>
    <dxf>
      <numFmt numFmtId="172" formatCode="#,##0.0"/>
    </dxf>
    <dxf>
      <numFmt numFmtId="164" formatCode="0.0E+00"/>
    </dxf>
    <dxf>
      <numFmt numFmtId="167" formatCode="0.0"/>
    </dxf>
    <dxf>
      <numFmt numFmtId="4" formatCode="#,##0.00"/>
    </dxf>
    <dxf>
      <numFmt numFmtId="172" formatCode="#,##0.0"/>
    </dxf>
    <dxf>
      <numFmt numFmtId="3" formatCode="#,##0"/>
    </dxf>
    <dxf>
      <numFmt numFmtId="164" formatCode="0.0E+00"/>
    </dxf>
    <dxf>
      <numFmt numFmtId="3" formatCode="#,##0"/>
    </dxf>
    <dxf>
      <numFmt numFmtId="164" formatCode="0.0E+00"/>
    </dxf>
    <dxf>
      <fill>
        <patternFill>
          <bgColor rgb="FFC00000"/>
        </patternFill>
      </fill>
    </dxf>
    <dxf>
      <fill>
        <patternFill>
          <bgColor theme="0"/>
        </patternFill>
      </fill>
    </dxf>
    <dxf>
      <numFmt numFmtId="4" formatCode="#,##0.00"/>
    </dxf>
    <dxf>
      <numFmt numFmtId="172" formatCode="#,##0.0"/>
    </dxf>
    <dxf>
      <numFmt numFmtId="164" formatCode="0.0E+00"/>
    </dxf>
    <dxf>
      <fill>
        <patternFill>
          <bgColor theme="0"/>
        </patternFill>
      </fill>
    </dxf>
    <dxf>
      <font>
        <color theme="0"/>
      </font>
    </dxf>
    <dxf>
      <numFmt numFmtId="4" formatCode="#,##0.00"/>
    </dxf>
    <dxf>
      <numFmt numFmtId="3" formatCode="#,##0"/>
    </dxf>
    <dxf>
      <numFmt numFmtId="172" formatCode="#,##0.0"/>
    </dxf>
    <dxf>
      <numFmt numFmtId="164" formatCode="0.0E+00"/>
    </dxf>
    <dxf>
      <font>
        <color rgb="FFFF0000"/>
      </font>
      <fill>
        <patternFill>
          <bgColor rgb="FFFCAAAA"/>
        </patternFill>
      </fill>
    </dxf>
    <dxf>
      <numFmt numFmtId="164" formatCode="0.0E+00"/>
    </dxf>
    <dxf>
      <numFmt numFmtId="3" formatCode="#,##0"/>
    </dxf>
    <dxf>
      <numFmt numFmtId="172" formatCode="#,##0.0"/>
    </dxf>
    <dxf>
      <numFmt numFmtId="4" formatCode="#,##0.00"/>
    </dxf>
    <dxf>
      <numFmt numFmtId="164" formatCode="0.0E+00"/>
    </dxf>
    <dxf>
      <fill>
        <patternFill>
          <bgColor theme="0"/>
        </patternFill>
      </fill>
    </dxf>
    <dxf>
      <font>
        <color rgb="FFFF0000"/>
      </font>
      <fill>
        <patternFill>
          <bgColor rgb="FFFFBDBD"/>
        </patternFill>
      </fill>
    </dxf>
    <dxf>
      <numFmt numFmtId="172" formatCode="#,##0.0"/>
    </dxf>
    <dxf>
      <fill>
        <patternFill>
          <bgColor rgb="FFC00000"/>
        </patternFill>
      </fill>
    </dxf>
    <dxf>
      <fill>
        <patternFill>
          <bgColor theme="0"/>
        </patternFill>
      </fill>
    </dxf>
    <dxf>
      <numFmt numFmtId="4" formatCode="#,##0.00"/>
    </dxf>
    <dxf>
      <fill>
        <patternFill>
          <bgColor rgb="FFC00000"/>
        </patternFill>
      </fill>
    </dxf>
    <dxf>
      <fill>
        <patternFill>
          <bgColor rgb="FFC00000"/>
        </patternFill>
      </fill>
    </dxf>
    <dxf>
      <fill>
        <patternFill>
          <bgColor rgb="FF00B050"/>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ill>
        <patternFill>
          <bgColor rgb="FF00B050"/>
        </patternFill>
      </fill>
    </dxf>
    <dxf>
      <numFmt numFmtId="164" formatCode="0.0E+00"/>
    </dxf>
    <dxf>
      <fill>
        <patternFill>
          <bgColor theme="0"/>
        </patternFill>
      </fill>
    </dxf>
    <dxf>
      <fill>
        <patternFill>
          <bgColor rgb="FFC00000"/>
        </patternFill>
      </fill>
    </dxf>
    <dxf>
      <numFmt numFmtId="164" formatCode="0.0E+00"/>
    </dxf>
    <dxf>
      <numFmt numFmtId="3" formatCode="#,##0"/>
    </dxf>
    <dxf>
      <numFmt numFmtId="4" formatCode="#,##0.00"/>
    </dxf>
    <dxf>
      <numFmt numFmtId="172" formatCode="#,##0.0"/>
    </dxf>
    <dxf>
      <fill>
        <patternFill>
          <bgColor theme="0"/>
        </patternFill>
      </fill>
    </dxf>
    <dxf>
      <fill>
        <patternFill>
          <bgColor rgb="FFC00000"/>
        </patternFill>
      </fill>
    </dxf>
    <dxf>
      <fill>
        <patternFill>
          <bgColor rgb="FFC00000"/>
        </patternFill>
      </fill>
    </dxf>
    <dxf>
      <fill>
        <patternFill>
          <bgColor theme="0"/>
        </patternFill>
      </fill>
    </dxf>
    <dxf>
      <font>
        <color theme="0"/>
      </font>
    </dxf>
    <dxf>
      <numFmt numFmtId="15" formatCode="0.00E+00"/>
    </dxf>
    <dxf>
      <numFmt numFmtId="2" formatCode="0.00"/>
    </dxf>
    <dxf>
      <numFmt numFmtId="167" formatCode="0.0"/>
    </dxf>
    <dxf>
      <numFmt numFmtId="172" formatCode="#,##0.0"/>
    </dxf>
    <dxf>
      <numFmt numFmtId="164" formatCode="0.0E+00"/>
    </dxf>
    <dxf>
      <numFmt numFmtId="164" formatCode="0.0E+00"/>
    </dxf>
    <dxf>
      <numFmt numFmtId="3" formatCode="#,##0"/>
    </dxf>
    <dxf>
      <numFmt numFmtId="172" formatCode="#,##0.0"/>
    </dxf>
    <dxf>
      <numFmt numFmtId="4" formatCode="#,##0.00"/>
    </dxf>
    <dxf>
      <numFmt numFmtId="164" formatCode="0.0E+00"/>
    </dxf>
    <dxf>
      <fill>
        <patternFill>
          <bgColor theme="0"/>
        </patternFill>
      </fill>
    </dxf>
    <dxf>
      <numFmt numFmtId="172" formatCode="#,##0.0"/>
    </dxf>
    <dxf>
      <numFmt numFmtId="3" formatCode="#,##0"/>
    </dxf>
    <dxf>
      <numFmt numFmtId="164" formatCode="0.0E+00"/>
    </dxf>
    <dxf>
      <font>
        <color rgb="FFFF0000"/>
      </font>
      <fill>
        <patternFill>
          <bgColor rgb="FFFFBDBD"/>
        </patternFill>
      </fill>
    </dxf>
    <dxf>
      <numFmt numFmtId="164" formatCode="0.0E+00"/>
    </dxf>
    <dxf>
      <numFmt numFmtId="4" formatCode="#,##0.00"/>
    </dxf>
    <dxf>
      <numFmt numFmtId="164" formatCode="0.0E+00"/>
    </dxf>
    <dxf>
      <numFmt numFmtId="172" formatCode="#,##0.0"/>
    </dxf>
    <dxf>
      <numFmt numFmtId="167" formatCode="0.0"/>
    </dxf>
    <dxf>
      <numFmt numFmtId="2" formatCode="0.00"/>
    </dxf>
    <dxf>
      <numFmt numFmtId="3" formatCode="#,##0"/>
    </dxf>
    <dxf>
      <numFmt numFmtId="15" formatCode="0.00E+00"/>
    </dxf>
    <dxf>
      <font>
        <color theme="0"/>
      </font>
    </dxf>
    <dxf>
      <fill>
        <patternFill>
          <bgColor theme="0"/>
        </patternFill>
      </fill>
    </dxf>
    <dxf>
      <numFmt numFmtId="164" formatCode="0.0E+00"/>
    </dxf>
    <dxf>
      <numFmt numFmtId="4" formatCode="#,##0.00"/>
    </dxf>
    <dxf>
      <numFmt numFmtId="172" formatCode="#,##0.0"/>
    </dxf>
    <dxf>
      <numFmt numFmtId="164" formatCode="0.0E+00"/>
    </dxf>
    <dxf>
      <fill>
        <patternFill>
          <bgColor theme="0"/>
        </patternFill>
      </fill>
    </dxf>
    <dxf>
      <numFmt numFmtId="164" formatCode="0.0E+00"/>
    </dxf>
    <dxf>
      <numFmt numFmtId="4" formatCode="#,##0.00"/>
    </dxf>
    <dxf>
      <numFmt numFmtId="172" formatCode="#,##0.0"/>
    </dxf>
    <dxf>
      <numFmt numFmtId="3" formatCode="#,##0"/>
    </dxf>
    <dxf>
      <numFmt numFmtId="164" formatCode="0.0E+00"/>
    </dxf>
    <dxf>
      <font>
        <color theme="0"/>
      </font>
    </dxf>
    <dxf>
      <font>
        <color rgb="FFFF0000"/>
      </font>
      <fill>
        <patternFill>
          <bgColor rgb="FFFCAAAA"/>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ont>
        <color rgb="FFFF0000"/>
      </font>
      <fill>
        <patternFill>
          <bgColor rgb="FFFFBDBD"/>
        </patternFill>
      </fill>
    </dxf>
    <dxf>
      <fill>
        <patternFill>
          <bgColor theme="0"/>
        </patternFill>
      </fill>
    </dxf>
    <dxf>
      <fill>
        <patternFill>
          <bgColor rgb="FFC00000"/>
        </patternFill>
      </fill>
    </dxf>
    <dxf>
      <numFmt numFmtId="164" formatCode="0.0E+00"/>
    </dxf>
    <dxf>
      <numFmt numFmtId="4" formatCode="#,##0.00"/>
    </dxf>
    <dxf>
      <numFmt numFmtId="172" formatCode="#,##0.0"/>
    </dxf>
    <dxf>
      <numFmt numFmtId="164" formatCode="0.0E+00"/>
    </dxf>
    <dxf>
      <numFmt numFmtId="3" formatCode="#,##0"/>
    </dxf>
    <dxf>
      <fill>
        <patternFill>
          <bgColor theme="0"/>
        </patternFill>
      </fill>
    </dxf>
    <dxf>
      <fill>
        <patternFill>
          <bgColor rgb="FFC00000"/>
        </patternFill>
      </fill>
    </dxf>
    <dxf>
      <fill>
        <patternFill>
          <bgColor rgb="FF00B050"/>
        </patternFill>
      </fill>
    </dxf>
    <dxf>
      <fill>
        <patternFill>
          <bgColor rgb="FFC00000"/>
        </patternFill>
      </fill>
    </dxf>
    <dxf>
      <numFmt numFmtId="164" formatCode="0.0E+00"/>
    </dxf>
    <dxf>
      <fill>
        <patternFill>
          <bgColor theme="0"/>
        </patternFill>
      </fill>
    </dxf>
    <dxf>
      <numFmt numFmtId="4" formatCode="#,##0.00"/>
    </dxf>
    <dxf>
      <numFmt numFmtId="172" formatCode="#,##0.0"/>
    </dxf>
    <dxf>
      <numFmt numFmtId="3" formatCode="#,##0"/>
    </dxf>
    <dxf>
      <numFmt numFmtId="164" formatCode="0.0E+00"/>
    </dxf>
    <dxf>
      <fill>
        <patternFill>
          <bgColor rgb="FFC00000"/>
        </patternFill>
      </fill>
    </dxf>
    <dxf>
      <fill>
        <patternFill>
          <bgColor rgb="FF00B050"/>
        </patternFill>
      </fill>
    </dxf>
    <dxf>
      <font>
        <color theme="0"/>
      </font>
    </dxf>
    <dxf>
      <numFmt numFmtId="15" formatCode="0.00E+00"/>
    </dxf>
    <dxf>
      <numFmt numFmtId="3" formatCode="#,##0"/>
    </dxf>
    <dxf>
      <numFmt numFmtId="2" formatCode="0.00"/>
    </dxf>
    <dxf>
      <numFmt numFmtId="172" formatCode="#,##0.0"/>
    </dxf>
    <dxf>
      <numFmt numFmtId="4" formatCode="#,##0.00"/>
    </dxf>
    <dxf>
      <numFmt numFmtId="164" formatCode="0.0E+00"/>
    </dxf>
    <dxf>
      <fill>
        <patternFill>
          <bgColor theme="0"/>
        </patternFill>
      </fill>
    </dxf>
    <dxf>
      <numFmt numFmtId="167" formatCode="0.0"/>
    </dxf>
    <dxf>
      <numFmt numFmtId="172" formatCode="#,##0.0"/>
    </dxf>
    <dxf>
      <numFmt numFmtId="164" formatCode="0.0E+00"/>
    </dxf>
    <dxf>
      <numFmt numFmtId="164" formatCode="0.0E+00"/>
    </dxf>
    <dxf>
      <font>
        <color rgb="FFFF0000"/>
      </font>
      <fill>
        <patternFill>
          <bgColor rgb="FFFFBDBD"/>
        </patternFill>
      </fill>
    </dxf>
    <dxf>
      <numFmt numFmtId="164" formatCode="0.0E+00"/>
    </dxf>
    <dxf>
      <numFmt numFmtId="172" formatCode="#,##0.0"/>
    </dxf>
    <dxf>
      <numFmt numFmtId="4" formatCode="#,##0.00"/>
    </dxf>
    <dxf>
      <numFmt numFmtId="164" formatCode="0.0E+00"/>
    </dxf>
    <dxf>
      <fill>
        <patternFill>
          <bgColor theme="0"/>
        </patternFill>
      </fill>
    </dxf>
    <dxf>
      <numFmt numFmtId="3" formatCode="#,##0"/>
    </dxf>
    <dxf>
      <numFmt numFmtId="4" formatCode="#,##0.00"/>
    </dxf>
    <dxf>
      <font>
        <color rgb="FFFF0000"/>
      </font>
      <fill>
        <patternFill>
          <bgColor rgb="FFFDBBB9"/>
        </patternFill>
      </fill>
    </dxf>
    <dxf>
      <fill>
        <patternFill>
          <bgColor theme="0"/>
        </patternFill>
      </fill>
    </dxf>
    <dxf>
      <numFmt numFmtId="164" formatCode="0.0E+00"/>
    </dxf>
    <dxf>
      <numFmt numFmtId="164" formatCode="0.0E+00"/>
    </dxf>
    <dxf>
      <font>
        <color theme="5"/>
      </font>
      <fill>
        <patternFill>
          <bgColor theme="5" tint="0.79998168889431442"/>
        </patternFill>
      </fill>
    </dxf>
    <dxf>
      <fill>
        <patternFill>
          <bgColor theme="0"/>
        </patternFill>
      </fill>
    </dxf>
    <dxf>
      <numFmt numFmtId="164" formatCode="0.0E+00"/>
    </dxf>
    <dxf>
      <numFmt numFmtId="4" formatCode="#,##0.00"/>
    </dxf>
    <dxf>
      <numFmt numFmtId="172" formatCode="#,##0.0"/>
    </dxf>
    <dxf>
      <numFmt numFmtId="3" formatCode="#,##0"/>
    </dxf>
    <dxf>
      <numFmt numFmtId="172" formatCode="#,##0.0"/>
    </dxf>
    <dxf>
      <numFmt numFmtId="3" formatCode="#,##0"/>
    </dxf>
    <dxf>
      <numFmt numFmtId="164" formatCode="0.0E+00"/>
    </dxf>
    <dxf>
      <font>
        <color rgb="FFFF0000"/>
      </font>
      <fill>
        <patternFill>
          <bgColor rgb="FFFFBDBD"/>
        </patternFill>
      </fill>
    </dxf>
    <dxf>
      <fill>
        <patternFill>
          <bgColor theme="0"/>
        </patternFill>
      </fill>
    </dxf>
    <dxf>
      <numFmt numFmtId="164" formatCode="0.0E+00"/>
    </dxf>
    <dxf>
      <numFmt numFmtId="4" formatCode="#,##0.00"/>
    </dxf>
    <dxf>
      <numFmt numFmtId="3" formatCode="#,##0"/>
    </dxf>
    <dxf>
      <numFmt numFmtId="164" formatCode="0.0E+00"/>
    </dxf>
    <dxf>
      <font>
        <color theme="0"/>
      </font>
    </dxf>
    <dxf>
      <numFmt numFmtId="164" formatCode="0.0E+00"/>
    </dxf>
    <dxf>
      <numFmt numFmtId="172" formatCode="#,##0.0"/>
    </dxf>
    <dxf>
      <numFmt numFmtId="167" formatCode="0.0"/>
    </dxf>
    <dxf>
      <numFmt numFmtId="2" formatCode="0.00"/>
    </dxf>
    <dxf>
      <numFmt numFmtId="15" formatCode="0.00E+00"/>
    </dxf>
    <dxf>
      <fill>
        <patternFill>
          <bgColor theme="0"/>
        </patternFill>
      </fill>
    </dxf>
    <dxf>
      <numFmt numFmtId="164" formatCode="0.0E+00"/>
    </dxf>
    <dxf>
      <numFmt numFmtId="4" formatCode="#,##0.00"/>
    </dxf>
    <dxf>
      <numFmt numFmtId="172" formatCode="#,##0.0"/>
    </dxf>
    <dxf>
      <numFmt numFmtId="172" formatCode="#,##0.0"/>
    </dxf>
    <dxf>
      <numFmt numFmtId="3" formatCode="#,##0"/>
    </dxf>
    <dxf>
      <numFmt numFmtId="164" formatCode="0.0E+00"/>
    </dxf>
    <dxf>
      <fill>
        <patternFill>
          <bgColor theme="0"/>
        </patternFill>
      </fill>
    </dxf>
    <dxf>
      <numFmt numFmtId="164" formatCode="0.0E+00"/>
    </dxf>
    <dxf>
      <numFmt numFmtId="4" formatCode="#,##0.00"/>
    </dxf>
    <dxf>
      <font>
        <color rgb="FFFF0000"/>
      </font>
      <fill>
        <patternFill>
          <bgColor rgb="FFFFBDBD"/>
        </patternFill>
      </fill>
    </dxf>
    <dxf>
      <numFmt numFmtId="164" formatCode="0.0E+00"/>
    </dxf>
    <dxf>
      <fill>
        <patternFill>
          <bgColor theme="0"/>
        </patternFill>
      </fill>
    </dxf>
    <dxf>
      <numFmt numFmtId="4" formatCode="#,##0.00"/>
    </dxf>
    <dxf>
      <numFmt numFmtId="164" formatCode="0.0E+00"/>
    </dxf>
    <dxf>
      <numFmt numFmtId="3" formatCode="#,##0"/>
    </dxf>
    <dxf>
      <numFmt numFmtId="172" formatCode="#,##0.0"/>
    </dxf>
    <dxf>
      <numFmt numFmtId="4" formatCode="#,##0.00"/>
    </dxf>
    <dxf>
      <numFmt numFmtId="164" formatCode="0.0E+00"/>
    </dxf>
    <dxf>
      <fill>
        <patternFill>
          <bgColor theme="0"/>
        </patternFill>
      </fill>
    </dxf>
    <dxf>
      <font>
        <color rgb="FFFF0000"/>
      </font>
      <fill>
        <patternFill>
          <bgColor rgb="FFFFBDBD"/>
        </patternFill>
      </fill>
    </dxf>
    <dxf>
      <numFmt numFmtId="164" formatCode="0.0E+00"/>
    </dxf>
    <dxf>
      <numFmt numFmtId="3" formatCode="#,##0"/>
    </dxf>
    <dxf>
      <numFmt numFmtId="172" formatCode="#,##0.0"/>
    </dxf>
    <dxf>
      <numFmt numFmtId="4" formatCode="#,##0.00"/>
    </dxf>
    <dxf>
      <numFmt numFmtId="164" formatCode="0.0E+00"/>
    </dxf>
    <dxf>
      <fill>
        <patternFill>
          <bgColor theme="0"/>
        </patternFill>
      </fill>
    </dxf>
    <dxf>
      <numFmt numFmtId="15" formatCode="0.00E+00"/>
    </dxf>
    <dxf>
      <numFmt numFmtId="2" formatCode="0.00"/>
    </dxf>
    <dxf>
      <numFmt numFmtId="167" formatCode="0.0"/>
    </dxf>
    <dxf>
      <numFmt numFmtId="172" formatCode="#,##0.0"/>
    </dxf>
    <dxf>
      <font>
        <color theme="0"/>
      </font>
    </dxf>
    <dxf>
      <numFmt numFmtId="164" formatCode="0.0E+00"/>
    </dxf>
    <dxf>
      <numFmt numFmtId="4" formatCode="#,##0.00"/>
    </dxf>
    <dxf>
      <numFmt numFmtId="172" formatCode="#,##0.0"/>
    </dxf>
    <dxf>
      <numFmt numFmtId="3" formatCode="#,##0"/>
    </dxf>
    <dxf>
      <numFmt numFmtId="164" formatCode="0.0E+00"/>
    </dxf>
    <dxf>
      <numFmt numFmtId="164" formatCode="0.0E+00"/>
    </dxf>
    <dxf>
      <font>
        <color rgb="FFFF0000"/>
      </font>
      <fill>
        <patternFill>
          <bgColor rgb="FFFFBDBD"/>
        </patternFill>
      </fill>
    </dxf>
    <dxf>
      <fill>
        <patternFill>
          <bgColor theme="0"/>
        </patternFill>
      </fill>
    </dxf>
    <dxf>
      <numFmt numFmtId="172" formatCode="#,##0.0"/>
    </dxf>
    <dxf>
      <numFmt numFmtId="164" formatCode="0.0E+00"/>
    </dxf>
    <dxf>
      <fill>
        <patternFill>
          <bgColor rgb="FFC00000"/>
        </patternFill>
      </fill>
    </dxf>
    <dxf>
      <fill>
        <patternFill>
          <bgColor theme="0"/>
        </patternFill>
      </fill>
    </dxf>
    <dxf>
      <numFmt numFmtId="3" formatCode="#,##0"/>
    </dxf>
    <dxf>
      <numFmt numFmtId="0" formatCode="General"/>
      <fill>
        <patternFill>
          <bgColor rgb="FF00B050"/>
        </patternFill>
      </fill>
    </dxf>
    <dxf>
      <fill>
        <patternFill>
          <bgColor rgb="FFC00000"/>
        </patternFill>
      </fill>
    </dxf>
    <dxf>
      <numFmt numFmtId="164" formatCode="0.0E+00"/>
    </dxf>
    <dxf>
      <numFmt numFmtId="172" formatCode="#,##0.0"/>
    </dxf>
    <dxf>
      <numFmt numFmtId="3" formatCode="#,##0"/>
    </dxf>
    <dxf>
      <numFmt numFmtId="164" formatCode="0.0E+00"/>
    </dxf>
    <dxf>
      <fill>
        <patternFill>
          <bgColor theme="0"/>
        </patternFill>
      </fill>
    </dxf>
    <dxf>
      <numFmt numFmtId="4" formatCode="#,##0.00"/>
    </dxf>
    <dxf>
      <fill>
        <patternFill>
          <bgColor rgb="FFC00000"/>
        </patternFill>
      </fill>
    </dxf>
    <dxf>
      <numFmt numFmtId="0" formatCode="General"/>
      <fill>
        <patternFill>
          <bgColor rgb="FF00B050"/>
        </patternFill>
      </fill>
    </dxf>
    <dxf>
      <numFmt numFmtId="172" formatCode="#,##0.0"/>
    </dxf>
    <dxf>
      <numFmt numFmtId="167" formatCode="0.0"/>
    </dxf>
    <dxf>
      <numFmt numFmtId="4" formatCode="#,##0.00"/>
    </dxf>
    <dxf>
      <numFmt numFmtId="2" formatCode="0.00"/>
    </dxf>
    <dxf>
      <numFmt numFmtId="15" formatCode="0.00E+00"/>
    </dxf>
    <dxf>
      <font>
        <color theme="0"/>
      </font>
    </dxf>
    <dxf>
      <numFmt numFmtId="164" formatCode="0.0E+00"/>
    </dxf>
    <dxf>
      <numFmt numFmtId="164" formatCode="0.0E+00"/>
    </dxf>
    <dxf>
      <numFmt numFmtId="172" formatCode="#,##0.0"/>
    </dxf>
    <dxf>
      <numFmt numFmtId="164" formatCode="0.0E+00"/>
    </dxf>
    <dxf>
      <fill>
        <patternFill>
          <bgColor theme="0"/>
        </patternFill>
      </fill>
    </dxf>
    <dxf>
      <numFmt numFmtId="3" formatCode="#,##0"/>
    </dxf>
    <dxf>
      <numFmt numFmtId="4" formatCode="#,##0.00"/>
    </dxf>
    <dxf>
      <font>
        <color theme="0"/>
      </font>
    </dxf>
    <dxf>
      <fill>
        <patternFill>
          <bgColor theme="0"/>
        </patternFill>
      </fill>
    </dxf>
    <dxf>
      <numFmt numFmtId="164" formatCode="0.0E+00"/>
    </dxf>
    <dxf>
      <numFmt numFmtId="172" formatCode="#,##0.0"/>
    </dxf>
    <dxf>
      <numFmt numFmtId="3" formatCode="#,##0"/>
    </dxf>
    <dxf>
      <numFmt numFmtId="164" formatCode="0.0E+00"/>
    </dxf>
    <dxf>
      <font>
        <color rgb="FFFF0000"/>
      </font>
      <fill>
        <patternFill>
          <bgColor rgb="FFFCAAAA"/>
        </patternFill>
      </fill>
    </dxf>
    <dxf>
      <numFmt numFmtId="164" formatCode="0.0E+00"/>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3" formatCode="#,##0"/>
    </dxf>
    <dxf>
      <numFmt numFmtId="164" formatCode="0.0E+00"/>
    </dxf>
    <dxf>
      <fill>
        <patternFill>
          <bgColor theme="0"/>
        </patternFill>
      </fill>
    </dxf>
    <dxf>
      <fill>
        <patternFill>
          <bgColor rgb="FFC00000"/>
        </patternFill>
      </fill>
    </dxf>
    <dxf>
      <numFmt numFmtId="4" formatCode="#,##0.00"/>
    </dxf>
    <dxf>
      <numFmt numFmtId="172" formatCode="#,##0.0"/>
    </dxf>
    <dxf>
      <fill>
        <patternFill>
          <bgColor rgb="FF00B050"/>
        </patternFill>
      </fill>
    </dxf>
    <dxf>
      <fill>
        <patternFill>
          <bgColor rgb="FFC00000"/>
        </patternFill>
      </fill>
    </dxf>
    <dxf>
      <numFmt numFmtId="3" formatCode="#,##0"/>
    </dxf>
    <dxf>
      <numFmt numFmtId="164" formatCode="0.0E+00"/>
    </dxf>
    <dxf>
      <numFmt numFmtId="4" formatCode="#,##0.00"/>
    </dxf>
    <dxf>
      <numFmt numFmtId="172" formatCode="#,##0.0"/>
    </dxf>
    <dxf>
      <fill>
        <patternFill>
          <bgColor theme="0"/>
        </patternFill>
      </fill>
    </dxf>
    <dxf>
      <numFmt numFmtId="164" formatCode="0.0E+00"/>
    </dxf>
    <dxf>
      <fill>
        <patternFill>
          <bgColor rgb="FFC00000"/>
        </patternFill>
      </fill>
    </dxf>
    <dxf>
      <fill>
        <patternFill>
          <bgColor rgb="FF00B050"/>
        </patternFill>
      </fill>
    </dxf>
    <dxf>
      <fill>
        <patternFill>
          <bgColor rgb="FFC00000"/>
        </patternFill>
      </fill>
    </dxf>
    <dxf>
      <fill>
        <patternFill>
          <bgColor theme="0"/>
        </patternFill>
      </fill>
    </dxf>
    <dxf>
      <numFmt numFmtId="4" formatCode="#,##0.00"/>
    </dxf>
    <dxf>
      <numFmt numFmtId="172" formatCode="#,##0.0"/>
    </dxf>
    <dxf>
      <numFmt numFmtId="172" formatCode="#,##0.0"/>
    </dxf>
    <dxf>
      <numFmt numFmtId="15" formatCode="0.00E+00"/>
    </dxf>
    <dxf>
      <font>
        <color theme="0"/>
      </font>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numFmt numFmtId="167" formatCode="0.0"/>
    </dxf>
    <dxf>
      <numFmt numFmtId="2" formatCode="0.00"/>
    </dxf>
    <dxf>
      <fill>
        <patternFill>
          <bgColor theme="0"/>
        </patternFill>
      </fill>
    </dxf>
    <dxf>
      <numFmt numFmtId="164" formatCode="0.0E+00"/>
    </dxf>
    <dxf>
      <numFmt numFmtId="4" formatCode="#,##0.00"/>
    </dxf>
    <dxf>
      <numFmt numFmtId="172" formatCode="#,##0.0"/>
    </dxf>
    <dxf>
      <numFmt numFmtId="3" formatCode="#,##0"/>
    </dxf>
    <dxf>
      <numFmt numFmtId="164" formatCode="0.0E+00"/>
    </dxf>
    <dxf>
      <font>
        <color rgb="FFFF0000"/>
      </font>
      <fill>
        <patternFill>
          <bgColor rgb="FFFFBDBD"/>
        </patternFill>
      </fill>
    </dxf>
    <dxf>
      <numFmt numFmtId="4" formatCode="#,##0.00"/>
    </dxf>
    <dxf>
      <font>
        <color rgb="FFFF0000"/>
      </font>
      <fill>
        <patternFill>
          <bgColor rgb="FFFFBDBD"/>
        </patternFill>
      </fill>
    </dxf>
    <dxf>
      <fill>
        <patternFill>
          <bgColor theme="0"/>
        </patternFill>
      </fill>
    </dxf>
    <dxf>
      <numFmt numFmtId="164" formatCode="0.0E+00"/>
    </dxf>
    <dxf>
      <numFmt numFmtId="172" formatCode="#,##0.0"/>
    </dxf>
    <dxf>
      <numFmt numFmtId="3" formatCode="#,##0"/>
    </dxf>
    <dxf>
      <numFmt numFmtId="164" formatCode="0.0E+00"/>
    </dxf>
    <dxf>
      <font>
        <color theme="0"/>
      </font>
    </dxf>
    <dxf>
      <numFmt numFmtId="15" formatCode="0.00E+00"/>
    </dxf>
    <dxf>
      <numFmt numFmtId="2" formatCode="0.00"/>
    </dxf>
    <dxf>
      <numFmt numFmtId="167" formatCode="0.0"/>
    </dxf>
    <dxf>
      <fill>
        <patternFill>
          <bgColor theme="0"/>
        </patternFill>
      </fill>
    </dxf>
    <dxf>
      <numFmt numFmtId="172" formatCode="#,##0.0"/>
    </dxf>
    <dxf>
      <numFmt numFmtId="164" formatCode="0.0E+00"/>
    </dxf>
    <dxf>
      <numFmt numFmtId="164" formatCode="0.0E+00"/>
    </dxf>
    <dxf>
      <numFmt numFmtId="4" formatCode="#,##0.00"/>
    </dxf>
    <dxf>
      <numFmt numFmtId="172" formatCode="#,##0.0"/>
    </dxf>
    <dxf>
      <numFmt numFmtId="3" formatCode="#,##0"/>
    </dxf>
    <dxf>
      <numFmt numFmtId="164" formatCode="0.0E+00"/>
    </dxf>
    <dxf>
      <font>
        <color rgb="FFFF0000"/>
      </font>
      <fill>
        <patternFill>
          <bgColor rgb="FFFFBDBD"/>
        </patternFill>
      </fill>
    </dxf>
    <dxf>
      <font>
        <color rgb="FFFF0000"/>
      </font>
      <fill>
        <patternFill>
          <bgColor rgb="FFFFBDBD"/>
        </patternFill>
      </fill>
    </dxf>
    <dxf>
      <numFmt numFmtId="3" formatCode="#,##0"/>
    </dxf>
    <dxf>
      <numFmt numFmtId="164" formatCode="0.0E+00"/>
    </dxf>
    <dxf>
      <numFmt numFmtId="172" formatCode="#,##0.0"/>
    </dxf>
    <dxf>
      <numFmt numFmtId="4" formatCode="#,##0.00"/>
    </dxf>
    <dxf>
      <numFmt numFmtId="164" formatCode="0.0E+00"/>
    </dxf>
    <dxf>
      <fill>
        <patternFill>
          <bgColor theme="0"/>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numFmt numFmtId="172" formatCode="#,##0.0"/>
    </dxf>
    <dxf>
      <numFmt numFmtId="167" formatCode="0.0"/>
    </dxf>
    <dxf>
      <numFmt numFmtId="2" formatCode="0.00"/>
    </dxf>
    <dxf>
      <numFmt numFmtId="15" formatCode="0.00E+00"/>
    </dxf>
    <dxf>
      <font>
        <color theme="0"/>
      </font>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ill>
        <patternFill>
          <bgColor rgb="FFC00000"/>
        </patternFill>
      </fill>
    </dxf>
    <dxf>
      <fill>
        <patternFill>
          <bgColor theme="0"/>
        </patternFill>
      </fill>
    </dxf>
    <dxf>
      <numFmt numFmtId="164" formatCode="0.0E+00"/>
    </dxf>
    <dxf>
      <numFmt numFmtId="172" formatCode="#,##0.0"/>
    </dxf>
    <dxf>
      <numFmt numFmtId="3" formatCode="#,##0"/>
    </dxf>
    <dxf>
      <numFmt numFmtId="0" formatCode="General"/>
      <fill>
        <patternFill>
          <bgColor rgb="FF00B050"/>
        </patternFill>
      </fill>
    </dxf>
    <dxf>
      <fill>
        <patternFill>
          <bgColor rgb="FFC00000"/>
        </patternFill>
      </fill>
    </dxf>
    <dxf>
      <fill>
        <patternFill>
          <bgColor rgb="FFC00000"/>
        </patternFill>
      </fill>
    </dxf>
    <dxf>
      <numFmt numFmtId="0" formatCode="General"/>
      <fill>
        <patternFill>
          <bgColor rgb="FF00B050"/>
        </patternFill>
      </fill>
    </dxf>
    <dxf>
      <numFmt numFmtId="172" formatCode="#,##0.0"/>
    </dxf>
    <dxf>
      <numFmt numFmtId="4" formatCode="#,##0.00"/>
    </dxf>
    <dxf>
      <fill>
        <patternFill>
          <bgColor theme="0"/>
        </patternFill>
      </fill>
    </dxf>
    <dxf>
      <numFmt numFmtId="164" formatCode="0.0E+00"/>
    </dxf>
    <dxf>
      <numFmt numFmtId="3" formatCode="#,##0"/>
    </dxf>
    <dxf>
      <numFmt numFmtId="164" formatCode="0.0E+00"/>
    </dxf>
    <dxf>
      <numFmt numFmtId="167" formatCode="0.0"/>
    </dxf>
    <dxf>
      <numFmt numFmtId="2" formatCode="0.00"/>
    </dxf>
    <dxf>
      <numFmt numFmtId="15" formatCode="0.00E+00"/>
    </dxf>
    <dxf>
      <font>
        <color theme="0"/>
      </font>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numFmt numFmtId="172" formatCode="#,##0.0"/>
    </dxf>
    <dxf>
      <fill>
        <patternFill>
          <bgColor theme="5"/>
        </patternFill>
      </fill>
    </dxf>
    <dxf>
      <fill>
        <patternFill>
          <bgColor theme="5"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numFmt numFmtId="3" formatCode="#,##0"/>
    </dxf>
    <dxf>
      <font>
        <color theme="0"/>
      </font>
    </dxf>
    <dxf>
      <fill>
        <patternFill>
          <bgColor theme="0"/>
        </patternFill>
      </fill>
    </dxf>
    <dxf>
      <numFmt numFmtId="164" formatCode="0.0E+00"/>
    </dxf>
    <dxf>
      <numFmt numFmtId="172" formatCode="#,##0.0"/>
    </dxf>
    <dxf>
      <numFmt numFmtId="164" formatCode="0.0E+00"/>
    </dxf>
    <dxf>
      <numFmt numFmtId="4" formatCode="#,##0.00"/>
    </dxf>
    <dxf>
      <font>
        <color rgb="FFFF0000"/>
      </font>
      <fill>
        <patternFill>
          <bgColor rgb="FFFCAAAA"/>
        </patternFill>
      </fill>
    </dxf>
    <dxf>
      <fill>
        <patternFill>
          <bgColor theme="0"/>
        </patternFill>
      </fill>
    </dxf>
    <dxf>
      <numFmt numFmtId="164" formatCode="0.0E+00"/>
    </dxf>
    <dxf>
      <numFmt numFmtId="4" formatCode="#,##0.00"/>
    </dxf>
    <dxf>
      <numFmt numFmtId="172" formatCode="#,##0.0"/>
    </dxf>
    <dxf>
      <numFmt numFmtId="3" formatCode="#,##0"/>
    </dxf>
    <dxf>
      <font>
        <color rgb="FFFF0000"/>
      </font>
      <fill>
        <patternFill>
          <bgColor rgb="FFFFBDBD"/>
        </patternFill>
      </fill>
    </dxf>
    <dxf>
      <numFmt numFmtId="164" formatCode="0.0E+00"/>
    </dxf>
    <dxf>
      <numFmt numFmtId="164" formatCode="0.0E+00"/>
    </dxf>
    <dxf>
      <numFmt numFmtId="3" formatCode="#,##0"/>
    </dxf>
    <dxf>
      <numFmt numFmtId="164" formatCode="0.0E+00"/>
    </dxf>
    <dxf>
      <fill>
        <patternFill>
          <bgColor rgb="FFC00000"/>
        </patternFill>
      </fill>
    </dxf>
    <dxf>
      <numFmt numFmtId="172" formatCode="#,##0.0"/>
    </dxf>
    <dxf>
      <numFmt numFmtId="4" formatCode="#,##0.00"/>
    </dxf>
    <dxf>
      <fill>
        <patternFill>
          <bgColor theme="0"/>
        </patternFill>
      </fill>
    </dxf>
    <dxf>
      <numFmt numFmtId="172" formatCode="#,##0.0"/>
    </dxf>
    <dxf>
      <fill>
        <patternFill>
          <bgColor theme="0"/>
        </patternFill>
      </fill>
    </dxf>
    <dxf>
      <numFmt numFmtId="164" formatCode="0.0E+00"/>
    </dxf>
    <dxf>
      <numFmt numFmtId="4" formatCode="#,##0.00"/>
    </dxf>
    <dxf>
      <numFmt numFmtId="3" formatCode="#,##0"/>
    </dxf>
    <dxf>
      <numFmt numFmtId="164" formatCode="0.0E+00"/>
    </dxf>
    <dxf>
      <fill>
        <patternFill>
          <bgColor rgb="FFC00000"/>
        </patternFill>
      </fill>
    </dxf>
    <dxf>
      <fill>
        <patternFill>
          <bgColor theme="0"/>
        </patternFill>
      </fill>
    </dxf>
    <dxf>
      <numFmt numFmtId="4" formatCode="#,##0.00"/>
    </dxf>
    <dxf>
      <numFmt numFmtId="172" formatCode="#,##0.0"/>
    </dxf>
    <dxf>
      <fill>
        <patternFill>
          <bgColor rgb="FFC00000"/>
        </patternFill>
      </fill>
    </dxf>
    <dxf>
      <fill>
        <patternFill>
          <bgColor rgb="FF00B050"/>
        </patternFill>
      </fill>
    </dxf>
    <dxf>
      <fill>
        <patternFill>
          <bgColor rgb="FFC00000"/>
        </patternFill>
      </fill>
    </dxf>
    <dxf>
      <fill>
        <patternFill>
          <bgColor rgb="FF00B050"/>
        </patternFill>
      </fill>
    </dxf>
    <dxf>
      <numFmt numFmtId="4" formatCode="#,##0.00"/>
    </dxf>
    <dxf>
      <numFmt numFmtId="172" formatCode="#,##0.0"/>
    </dxf>
    <dxf>
      <numFmt numFmtId="3" formatCode="#,##0"/>
    </dxf>
    <dxf>
      <numFmt numFmtId="164" formatCode="0.0E+00"/>
    </dxf>
    <dxf>
      <numFmt numFmtId="167" formatCode="0.0"/>
    </dxf>
    <dxf>
      <numFmt numFmtId="2" formatCode="0.00"/>
    </dxf>
    <dxf>
      <numFmt numFmtId="15" formatCode="0.00E+00"/>
    </dxf>
    <dxf>
      <numFmt numFmtId="164" formatCode="0.0E+00"/>
    </dxf>
    <dxf>
      <font>
        <color theme="0"/>
      </font>
    </dxf>
    <dxf>
      <fill>
        <patternFill>
          <bgColor theme="0"/>
        </patternFill>
      </fill>
    </dxf>
    <dxf>
      <numFmt numFmtId="164" formatCode="0.0E+00"/>
    </dxf>
    <dxf>
      <numFmt numFmtId="172" formatCode="#,##0.0"/>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ill>
        <patternFill>
          <bgColor rgb="FFC00000"/>
        </patternFill>
      </fill>
    </dxf>
    <dxf>
      <fill>
        <patternFill>
          <bgColor theme="0"/>
        </patternFill>
      </fill>
    </dxf>
    <dxf>
      <numFmt numFmtId="164" formatCode="0.0E+00"/>
    </dxf>
    <dxf>
      <numFmt numFmtId="172" formatCode="#,##0.0"/>
    </dxf>
    <dxf>
      <numFmt numFmtId="3" formatCode="#,##0"/>
    </dxf>
    <dxf>
      <numFmt numFmtId="0" formatCode="General"/>
      <fill>
        <patternFill>
          <bgColor rgb="FF00B050"/>
        </patternFill>
      </fill>
    </dxf>
    <dxf>
      <fill>
        <patternFill>
          <bgColor rgb="FFC00000"/>
        </patternFill>
      </fill>
    </dxf>
    <dxf>
      <fill>
        <patternFill>
          <bgColor rgb="FFC00000"/>
        </patternFill>
      </fill>
    </dxf>
    <dxf>
      <numFmt numFmtId="0" formatCode="General"/>
      <fill>
        <patternFill>
          <bgColor rgb="FF00B050"/>
        </patternFill>
      </fill>
    </dxf>
    <dxf>
      <numFmt numFmtId="172" formatCode="#,##0.0"/>
    </dxf>
    <dxf>
      <numFmt numFmtId="4" formatCode="#,##0.00"/>
    </dxf>
    <dxf>
      <fill>
        <patternFill>
          <bgColor theme="0"/>
        </patternFill>
      </fill>
    </dxf>
    <dxf>
      <numFmt numFmtId="164" formatCode="0.0E+00"/>
    </dxf>
    <dxf>
      <numFmt numFmtId="3" formatCode="#,##0"/>
    </dxf>
    <dxf>
      <numFmt numFmtId="164" formatCode="0.0E+00"/>
    </dxf>
    <dxf>
      <numFmt numFmtId="167" formatCode="0.0"/>
    </dxf>
    <dxf>
      <numFmt numFmtId="2" formatCode="0.00"/>
    </dxf>
    <dxf>
      <numFmt numFmtId="15" formatCode="0.00E+00"/>
    </dxf>
    <dxf>
      <font>
        <color theme="0"/>
      </font>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numFmt numFmtId="172" formatCode="#,##0.0"/>
    </dxf>
    <dxf>
      <fill>
        <patternFill>
          <bgColor theme="5"/>
        </patternFill>
      </fill>
    </dxf>
    <dxf>
      <fill>
        <patternFill>
          <bgColor theme="5"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numFmt numFmtId="3" formatCode="#,##0"/>
    </dxf>
    <dxf>
      <font>
        <color theme="0"/>
      </font>
    </dxf>
    <dxf>
      <fill>
        <patternFill>
          <bgColor theme="0"/>
        </patternFill>
      </fill>
    </dxf>
    <dxf>
      <numFmt numFmtId="164" formatCode="0.0E+00"/>
    </dxf>
    <dxf>
      <numFmt numFmtId="172" formatCode="#,##0.0"/>
    </dxf>
    <dxf>
      <numFmt numFmtId="164" formatCode="0.0E+00"/>
    </dxf>
    <dxf>
      <numFmt numFmtId="4" formatCode="#,##0.00"/>
    </dxf>
    <dxf>
      <font>
        <color rgb="FFFF0000"/>
      </font>
      <fill>
        <patternFill>
          <bgColor rgb="FFFCAAAA"/>
        </patternFill>
      </fill>
    </dxf>
    <dxf>
      <fill>
        <patternFill>
          <bgColor theme="0"/>
        </patternFill>
      </fill>
    </dxf>
    <dxf>
      <numFmt numFmtId="164" formatCode="0.0E+00"/>
    </dxf>
    <dxf>
      <numFmt numFmtId="4" formatCode="#,##0.00"/>
    </dxf>
    <dxf>
      <numFmt numFmtId="172" formatCode="#,##0.0"/>
    </dxf>
    <dxf>
      <numFmt numFmtId="3" formatCode="#,##0"/>
    </dxf>
    <dxf>
      <font>
        <color rgb="FFFF0000"/>
      </font>
      <fill>
        <patternFill>
          <bgColor rgb="FFFFBDBD"/>
        </patternFill>
      </fill>
    </dxf>
    <dxf>
      <numFmt numFmtId="164" formatCode="0.0E+00"/>
    </dxf>
    <dxf>
      <numFmt numFmtId="164" formatCode="0.0E+00"/>
    </dxf>
    <dxf>
      <numFmt numFmtId="3" formatCode="#,##0"/>
    </dxf>
    <dxf>
      <numFmt numFmtId="164" formatCode="0.0E+00"/>
    </dxf>
    <dxf>
      <fill>
        <patternFill>
          <bgColor rgb="FFC00000"/>
        </patternFill>
      </fill>
    </dxf>
    <dxf>
      <numFmt numFmtId="172" formatCode="#,##0.0"/>
    </dxf>
    <dxf>
      <numFmt numFmtId="4" formatCode="#,##0.00"/>
    </dxf>
    <dxf>
      <fill>
        <patternFill>
          <bgColor theme="0"/>
        </patternFill>
      </fill>
    </dxf>
    <dxf>
      <numFmt numFmtId="172" formatCode="#,##0.0"/>
    </dxf>
    <dxf>
      <fill>
        <patternFill>
          <bgColor theme="0"/>
        </patternFill>
      </fill>
    </dxf>
    <dxf>
      <numFmt numFmtId="164" formatCode="0.0E+00"/>
    </dxf>
    <dxf>
      <numFmt numFmtId="4" formatCode="#,##0.00"/>
    </dxf>
    <dxf>
      <numFmt numFmtId="3" formatCode="#,##0"/>
    </dxf>
    <dxf>
      <numFmt numFmtId="164" formatCode="0.0E+00"/>
    </dxf>
    <dxf>
      <fill>
        <patternFill>
          <bgColor rgb="FFC00000"/>
        </patternFill>
      </fill>
    </dxf>
    <dxf>
      <fill>
        <patternFill>
          <bgColor theme="0"/>
        </patternFill>
      </fill>
    </dxf>
    <dxf>
      <numFmt numFmtId="4" formatCode="#,##0.00"/>
    </dxf>
    <dxf>
      <numFmt numFmtId="172" formatCode="#,##0.0"/>
    </dxf>
    <dxf>
      <fill>
        <patternFill>
          <bgColor rgb="FFC00000"/>
        </patternFill>
      </fill>
    </dxf>
    <dxf>
      <fill>
        <patternFill>
          <bgColor rgb="FF00B050"/>
        </patternFill>
      </fill>
    </dxf>
    <dxf>
      <fill>
        <patternFill>
          <bgColor rgb="FFC00000"/>
        </patternFill>
      </fill>
    </dxf>
    <dxf>
      <fill>
        <patternFill>
          <bgColor rgb="FF00B050"/>
        </patternFill>
      </fill>
    </dxf>
    <dxf>
      <numFmt numFmtId="4" formatCode="#,##0.00"/>
    </dxf>
    <dxf>
      <numFmt numFmtId="172" formatCode="#,##0.0"/>
    </dxf>
    <dxf>
      <numFmt numFmtId="3" formatCode="#,##0"/>
    </dxf>
    <dxf>
      <numFmt numFmtId="164" formatCode="0.0E+00"/>
    </dxf>
    <dxf>
      <numFmt numFmtId="167" formatCode="0.0"/>
    </dxf>
    <dxf>
      <numFmt numFmtId="2" formatCode="0.00"/>
    </dxf>
    <dxf>
      <numFmt numFmtId="15" formatCode="0.00E+00"/>
    </dxf>
    <dxf>
      <numFmt numFmtId="164" formatCode="0.0E+00"/>
    </dxf>
    <dxf>
      <font>
        <color theme="0"/>
      </font>
    </dxf>
    <dxf>
      <fill>
        <patternFill>
          <bgColor theme="0"/>
        </patternFill>
      </fill>
    </dxf>
    <dxf>
      <numFmt numFmtId="164" formatCode="0.0E+00"/>
    </dxf>
    <dxf>
      <numFmt numFmtId="172" formatCode="#,##0.0"/>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ill>
        <patternFill>
          <bgColor rgb="FFC00000"/>
        </patternFill>
      </fill>
    </dxf>
    <dxf>
      <fill>
        <patternFill>
          <bgColor theme="0"/>
        </patternFill>
      </fill>
    </dxf>
    <dxf>
      <numFmt numFmtId="164" formatCode="0.0E+00"/>
    </dxf>
    <dxf>
      <numFmt numFmtId="172" formatCode="#,##0.0"/>
    </dxf>
    <dxf>
      <numFmt numFmtId="3" formatCode="#,##0"/>
    </dxf>
    <dxf>
      <numFmt numFmtId="0" formatCode="General"/>
      <fill>
        <patternFill>
          <bgColor rgb="FF00B050"/>
        </patternFill>
      </fill>
    </dxf>
    <dxf>
      <fill>
        <patternFill>
          <bgColor rgb="FFC00000"/>
        </patternFill>
      </fill>
    </dxf>
    <dxf>
      <fill>
        <patternFill>
          <bgColor rgb="FFC00000"/>
        </patternFill>
      </fill>
    </dxf>
    <dxf>
      <numFmt numFmtId="0" formatCode="General"/>
      <fill>
        <patternFill>
          <bgColor rgb="FF00B050"/>
        </patternFill>
      </fill>
    </dxf>
    <dxf>
      <numFmt numFmtId="172" formatCode="#,##0.0"/>
    </dxf>
    <dxf>
      <numFmt numFmtId="4" formatCode="#,##0.00"/>
    </dxf>
    <dxf>
      <fill>
        <patternFill>
          <bgColor theme="0"/>
        </patternFill>
      </fill>
    </dxf>
    <dxf>
      <numFmt numFmtId="164" formatCode="0.0E+00"/>
    </dxf>
    <dxf>
      <numFmt numFmtId="3" formatCode="#,##0"/>
    </dxf>
    <dxf>
      <numFmt numFmtId="164" formatCode="0.0E+00"/>
    </dxf>
    <dxf>
      <numFmt numFmtId="167" formatCode="0.0"/>
    </dxf>
    <dxf>
      <numFmt numFmtId="2" formatCode="0.00"/>
    </dxf>
    <dxf>
      <numFmt numFmtId="15" formatCode="0.00E+00"/>
    </dxf>
    <dxf>
      <font>
        <color theme="0"/>
      </font>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numFmt numFmtId="172" formatCode="#,##0.0"/>
    </dxf>
    <dxf>
      <fill>
        <patternFill>
          <bgColor theme="5"/>
        </patternFill>
      </fill>
    </dxf>
    <dxf>
      <fill>
        <patternFill>
          <bgColor theme="5"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numFmt numFmtId="3" formatCode="#,##0"/>
    </dxf>
    <dxf>
      <font>
        <color theme="0"/>
      </font>
    </dxf>
    <dxf>
      <fill>
        <patternFill>
          <bgColor theme="0"/>
        </patternFill>
      </fill>
    </dxf>
    <dxf>
      <numFmt numFmtId="164" formatCode="0.0E+00"/>
    </dxf>
    <dxf>
      <numFmt numFmtId="172" formatCode="#,##0.0"/>
    </dxf>
    <dxf>
      <numFmt numFmtId="164" formatCode="0.0E+00"/>
    </dxf>
    <dxf>
      <numFmt numFmtId="4" formatCode="#,##0.00"/>
    </dxf>
    <dxf>
      <font>
        <color rgb="FFFF0000"/>
      </font>
      <fill>
        <patternFill>
          <bgColor rgb="FFFCAAAA"/>
        </patternFill>
      </fill>
    </dxf>
    <dxf>
      <fill>
        <patternFill>
          <bgColor theme="0"/>
        </patternFill>
      </fill>
    </dxf>
    <dxf>
      <numFmt numFmtId="164" formatCode="0.0E+00"/>
    </dxf>
    <dxf>
      <numFmt numFmtId="4" formatCode="#,##0.00"/>
    </dxf>
    <dxf>
      <numFmt numFmtId="172" formatCode="#,##0.0"/>
    </dxf>
    <dxf>
      <numFmt numFmtId="3" formatCode="#,##0"/>
    </dxf>
    <dxf>
      <font>
        <color rgb="FFFF0000"/>
      </font>
      <fill>
        <patternFill>
          <bgColor rgb="FFFFBDBD"/>
        </patternFill>
      </fill>
    </dxf>
    <dxf>
      <numFmt numFmtId="164" formatCode="0.0E+00"/>
    </dxf>
    <dxf>
      <numFmt numFmtId="164" formatCode="0.0E+00"/>
    </dxf>
    <dxf>
      <numFmt numFmtId="3" formatCode="#,##0"/>
    </dxf>
    <dxf>
      <numFmt numFmtId="164" formatCode="0.0E+00"/>
    </dxf>
    <dxf>
      <fill>
        <patternFill>
          <bgColor rgb="FFC00000"/>
        </patternFill>
      </fill>
    </dxf>
    <dxf>
      <numFmt numFmtId="172" formatCode="#,##0.0"/>
    </dxf>
    <dxf>
      <numFmt numFmtId="4" formatCode="#,##0.00"/>
    </dxf>
    <dxf>
      <fill>
        <patternFill>
          <bgColor theme="0"/>
        </patternFill>
      </fill>
    </dxf>
    <dxf>
      <numFmt numFmtId="172" formatCode="#,##0.0"/>
    </dxf>
    <dxf>
      <fill>
        <patternFill>
          <bgColor theme="0"/>
        </patternFill>
      </fill>
    </dxf>
    <dxf>
      <numFmt numFmtId="164" formatCode="0.0E+00"/>
    </dxf>
    <dxf>
      <numFmt numFmtId="4" formatCode="#,##0.00"/>
    </dxf>
    <dxf>
      <numFmt numFmtId="3" formatCode="#,##0"/>
    </dxf>
    <dxf>
      <numFmt numFmtId="164" formatCode="0.0E+00"/>
    </dxf>
    <dxf>
      <fill>
        <patternFill>
          <bgColor rgb="FFC00000"/>
        </patternFill>
      </fill>
    </dxf>
    <dxf>
      <fill>
        <patternFill>
          <bgColor theme="0"/>
        </patternFill>
      </fill>
    </dxf>
    <dxf>
      <numFmt numFmtId="4" formatCode="#,##0.00"/>
    </dxf>
    <dxf>
      <numFmt numFmtId="172" formatCode="#,##0.0"/>
    </dxf>
    <dxf>
      <fill>
        <patternFill>
          <bgColor rgb="FFC00000"/>
        </patternFill>
      </fill>
    </dxf>
    <dxf>
      <fill>
        <patternFill>
          <bgColor rgb="FF00B050"/>
        </patternFill>
      </fill>
    </dxf>
    <dxf>
      <fill>
        <patternFill>
          <bgColor rgb="FFC00000"/>
        </patternFill>
      </fill>
    </dxf>
    <dxf>
      <fill>
        <patternFill>
          <bgColor rgb="FF00B050"/>
        </patternFill>
      </fill>
    </dxf>
    <dxf>
      <numFmt numFmtId="4" formatCode="#,##0.00"/>
    </dxf>
    <dxf>
      <numFmt numFmtId="172" formatCode="#,##0.0"/>
    </dxf>
    <dxf>
      <numFmt numFmtId="3" formatCode="#,##0"/>
    </dxf>
    <dxf>
      <numFmt numFmtId="164" formatCode="0.0E+00"/>
    </dxf>
    <dxf>
      <numFmt numFmtId="167" formatCode="0.0"/>
    </dxf>
    <dxf>
      <numFmt numFmtId="2" formatCode="0.00"/>
    </dxf>
    <dxf>
      <numFmt numFmtId="15" formatCode="0.00E+00"/>
    </dxf>
    <dxf>
      <numFmt numFmtId="164" formatCode="0.0E+00"/>
    </dxf>
    <dxf>
      <font>
        <color theme="0"/>
      </font>
    </dxf>
    <dxf>
      <fill>
        <patternFill>
          <bgColor theme="0"/>
        </patternFill>
      </fill>
    </dxf>
    <dxf>
      <numFmt numFmtId="164" formatCode="0.0E+00"/>
    </dxf>
    <dxf>
      <numFmt numFmtId="172" formatCode="#,##0.0"/>
    </dxf>
    <dxf>
      <numFmt numFmtId="4" formatCode="#,##0.00"/>
    </dxf>
    <dxf>
      <font>
        <color rgb="FFFF0000"/>
      </font>
      <fill>
        <patternFill>
          <bgColor rgb="FFFFBDBD"/>
        </patternFill>
      </fill>
    </dxf>
    <dxf>
      <fill>
        <patternFill>
          <bgColor theme="0"/>
        </patternFill>
      </fill>
    </dxf>
    <dxf>
      <numFmt numFmtId="164" formatCode="0.0E+00"/>
    </dxf>
    <dxf>
      <numFmt numFmtId="172" formatCode="#,##0.0"/>
    </dxf>
    <dxf>
      <numFmt numFmtId="3" formatCode="#,##0"/>
    </dxf>
    <dxf>
      <numFmt numFmtId="164" formatCode="0.0E+00"/>
    </dxf>
    <dxf>
      <numFmt numFmtId="3" formatCode="#,##0"/>
    </dxf>
    <dxf>
      <fill>
        <patternFill>
          <bgColor rgb="FFC00000"/>
        </patternFill>
      </fill>
    </dxf>
    <dxf>
      <numFmt numFmtId="172" formatCode="#,##0.0"/>
    </dxf>
    <dxf>
      <numFmt numFmtId="164" formatCode="0.0E+00"/>
    </dxf>
    <dxf>
      <fill>
        <patternFill>
          <bgColor theme="0"/>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fill>
        <patternFill>
          <bgColor rgb="FFC00000"/>
        </patternFill>
      </fill>
    </dxf>
    <dxf>
      <numFmt numFmtId="172" formatCode="#,##0.0"/>
    </dxf>
    <dxf>
      <numFmt numFmtId="4" formatCode="#,##0.00"/>
    </dxf>
    <dxf>
      <fill>
        <patternFill>
          <bgColor theme="0"/>
        </patternFill>
      </fill>
    </dxf>
    <dxf>
      <numFmt numFmtId="164" formatCode="0.0E+00"/>
    </dxf>
    <dxf>
      <numFmt numFmtId="3" formatCode="#,##0"/>
    </dxf>
    <dxf>
      <numFmt numFmtId="164" formatCode="0.0E+00"/>
    </dxf>
    <dxf>
      <fill>
        <patternFill>
          <bgColor theme="5" tint="-0.24994659260841701"/>
        </patternFill>
      </fill>
    </dxf>
    <dxf>
      <fill>
        <patternFill>
          <bgColor theme="5"/>
        </patternFill>
      </fill>
    </dxf>
    <dxf>
      <fill>
        <patternFill>
          <bgColor rgb="FF00B050"/>
        </patternFill>
      </fill>
    </dxf>
    <dxf>
      <fill>
        <patternFill>
          <bgColor rgb="FFC00000"/>
        </patternFill>
      </fill>
    </dxf>
    <dxf>
      <fill>
        <patternFill>
          <bgColor rgb="FFC00000"/>
        </patternFill>
      </fill>
    </dxf>
    <dxf>
      <fill>
        <patternFill>
          <bgColor rgb="FF00B050"/>
        </patternFill>
      </fill>
    </dxf>
    <dxf>
      <numFmt numFmtId="3" formatCode="#,##0"/>
    </dxf>
    <dxf>
      <numFmt numFmtId="164" formatCode="0.0E+00"/>
    </dxf>
    <dxf>
      <fill>
        <patternFill>
          <bgColor theme="0"/>
        </patternFill>
      </fill>
    </dxf>
    <dxf>
      <font>
        <color theme="0"/>
      </font>
    </dxf>
    <dxf>
      <numFmt numFmtId="164" formatCode="0.0E+00"/>
    </dxf>
    <dxf>
      <numFmt numFmtId="4" formatCode="#,##0.00"/>
    </dxf>
    <dxf>
      <numFmt numFmtId="172" formatCode="#,##0.0"/>
    </dxf>
    <dxf>
      <font>
        <color rgb="FFFF0000"/>
      </font>
      <fill>
        <patternFill>
          <bgColor rgb="FFFCAAAA"/>
        </patternFill>
      </fill>
    </dxf>
    <dxf>
      <fill>
        <patternFill>
          <bgColor theme="0"/>
        </patternFill>
      </fill>
    </dxf>
    <dxf>
      <numFmt numFmtId="164" formatCode="0.0E+00"/>
    </dxf>
    <dxf>
      <numFmt numFmtId="4" formatCode="#,##0.00"/>
    </dxf>
    <dxf>
      <numFmt numFmtId="164" formatCode="0.0E+00"/>
    </dxf>
    <dxf>
      <font>
        <color rgb="FFFF0000"/>
      </font>
      <fill>
        <patternFill>
          <bgColor rgb="FFFFBDBD"/>
        </patternFill>
      </fill>
    </dxf>
    <dxf>
      <numFmt numFmtId="3" formatCode="#,##0"/>
    </dxf>
    <dxf>
      <numFmt numFmtId="172" formatCode="#,##0.0"/>
    </dxf>
    <dxf>
      <numFmt numFmtId="164" formatCode="0.0E+00"/>
    </dxf>
    <dxf>
      <numFmt numFmtId="3" formatCode="#,##0"/>
    </dxf>
    <dxf>
      <numFmt numFmtId="164" formatCode="0.0E+00"/>
    </dxf>
    <dxf>
      <fill>
        <patternFill>
          <bgColor rgb="FFC00000"/>
        </patternFill>
      </fill>
    </dxf>
    <dxf>
      <fill>
        <patternFill>
          <bgColor theme="0"/>
        </patternFill>
      </fill>
    </dxf>
    <dxf>
      <numFmt numFmtId="4" formatCode="#,##0.00"/>
    </dxf>
    <dxf>
      <numFmt numFmtId="172" formatCode="#,##0.0"/>
    </dxf>
    <dxf>
      <numFmt numFmtId="164" formatCode="0.0E+00"/>
    </dxf>
    <dxf>
      <numFmt numFmtId="3" formatCode="#,##0"/>
    </dxf>
    <dxf>
      <numFmt numFmtId="172" formatCode="#,##0.0"/>
    </dxf>
    <dxf>
      <numFmt numFmtId="4" formatCode="#,##0.00"/>
    </dxf>
    <dxf>
      <numFmt numFmtId="164" formatCode="0.0E+00"/>
    </dxf>
    <dxf>
      <fill>
        <patternFill>
          <bgColor theme="0"/>
        </patternFill>
      </fill>
    </dxf>
    <dxf>
      <numFmt numFmtId="172" formatCode="#,##0.0"/>
    </dxf>
    <dxf>
      <fill>
        <patternFill>
          <bgColor rgb="FFC00000"/>
        </patternFill>
      </fill>
    </dxf>
    <dxf>
      <fill>
        <patternFill>
          <bgColor theme="0"/>
        </patternFill>
      </fill>
    </dxf>
    <dxf>
      <numFmt numFmtId="4" formatCode="#,##0.00"/>
    </dxf>
    <dxf>
      <fill>
        <patternFill>
          <bgColor rgb="FFC00000"/>
        </patternFill>
      </fill>
    </dxf>
    <dxf>
      <fill>
        <patternFill>
          <bgColor rgb="FF00B050"/>
        </patternFill>
      </fill>
    </dxf>
    <dxf>
      <fill>
        <patternFill>
          <bgColor rgb="FFC00000"/>
        </patternFill>
      </fill>
    </dxf>
    <dxf>
      <fill>
        <patternFill>
          <bgColor rgb="FF00B050"/>
        </patternFill>
      </fill>
    </dxf>
    <dxf>
      <font>
        <color theme="0"/>
      </font>
    </dxf>
    <dxf>
      <numFmt numFmtId="164" formatCode="0.0E+00"/>
    </dxf>
    <dxf>
      <numFmt numFmtId="172" formatCode="#,##0.0"/>
    </dxf>
    <dxf>
      <numFmt numFmtId="164" formatCode="0.0E+00"/>
    </dxf>
    <dxf>
      <numFmt numFmtId="4" formatCode="#,##0.00"/>
    </dxf>
    <dxf>
      <numFmt numFmtId="172" formatCode="#,##0.0"/>
    </dxf>
    <dxf>
      <numFmt numFmtId="3" formatCode="#,##0"/>
    </dxf>
    <dxf>
      <numFmt numFmtId="164" formatCode="0.0E+00"/>
    </dxf>
    <dxf>
      <numFmt numFmtId="167" formatCode="0.0"/>
    </dxf>
    <dxf>
      <fill>
        <patternFill>
          <bgColor theme="0"/>
        </patternFill>
      </fill>
    </dxf>
    <dxf>
      <numFmt numFmtId="2" formatCode="0.00"/>
    </dxf>
    <dxf>
      <numFmt numFmtId="15" formatCode="0.00E+00"/>
    </dxf>
    <dxf>
      <numFmt numFmtId="4" formatCode="#,##0.00"/>
    </dxf>
    <dxf>
      <numFmt numFmtId="172" formatCode="#,##0.0"/>
    </dxf>
    <dxf>
      <numFmt numFmtId="3" formatCode="#,##0"/>
    </dxf>
    <dxf>
      <numFmt numFmtId="164" formatCode="0.0E+00"/>
    </dxf>
    <dxf>
      <font>
        <color rgb="FFFF0000"/>
      </font>
      <fill>
        <patternFill>
          <bgColor rgb="FFFFBDBD"/>
        </patternFill>
      </fill>
    </dxf>
    <dxf>
      <fill>
        <patternFill>
          <bgColor theme="0"/>
        </patternFill>
      </fill>
    </dxf>
    <dxf>
      <numFmt numFmtId="164" formatCode="0.0E+00"/>
    </dxf>
    <dxf>
      <numFmt numFmtId="172" formatCode="#,##0.0"/>
    </dxf>
    <dxf>
      <numFmt numFmtId="164" formatCode="0.0E+00"/>
    </dxf>
    <dxf>
      <fill>
        <patternFill>
          <bgColor theme="0"/>
        </patternFill>
      </fill>
    </dxf>
    <dxf>
      <fill>
        <patternFill>
          <bgColor rgb="FFC00000"/>
        </patternFill>
      </fill>
    </dxf>
    <dxf>
      <fill>
        <patternFill>
          <bgColor theme="5" tint="-0.24994659260841701"/>
        </patternFill>
      </fill>
    </dxf>
    <dxf>
      <fill>
        <patternFill>
          <bgColor theme="5"/>
        </patternFill>
      </fill>
    </dxf>
    <dxf>
      <numFmt numFmtId="3" formatCode="#,##0"/>
    </dxf>
    <dxf>
      <fill>
        <patternFill>
          <bgColor rgb="FFC00000"/>
        </patternFill>
      </fill>
    </dxf>
    <dxf>
      <numFmt numFmtId="0" formatCode="General"/>
      <fill>
        <patternFill>
          <bgColor rgb="FF00B050"/>
        </patternFill>
      </fill>
    </dxf>
    <dxf>
      <numFmt numFmtId="0" formatCode="General"/>
      <fill>
        <patternFill>
          <bgColor rgb="FF00B050"/>
        </patternFill>
      </fill>
    </dxf>
    <dxf>
      <fill>
        <patternFill>
          <bgColor rgb="FFC00000"/>
        </patternFill>
      </fill>
    </dxf>
    <dxf>
      <fill>
        <patternFill>
          <bgColor rgb="FFC00000"/>
        </patternFill>
      </fill>
    </dxf>
    <dxf>
      <numFmt numFmtId="0" formatCode="General"/>
      <fill>
        <patternFill>
          <bgColor rgb="FF00B050"/>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fill>
        <patternFill>
          <bgColor rgb="FFC00000"/>
        </patternFill>
      </fill>
    </dxf>
    <dxf>
      <numFmt numFmtId="164" formatCode="0.0E+00"/>
    </dxf>
    <dxf>
      <numFmt numFmtId="164" formatCode="0.0E+00"/>
    </dxf>
    <dxf>
      <fill>
        <patternFill>
          <bgColor theme="0"/>
        </patternFill>
      </fill>
    </dxf>
    <dxf>
      <numFmt numFmtId="4" formatCode="#,##0.00"/>
    </dxf>
    <dxf>
      <numFmt numFmtId="172" formatCode="#,##0.0"/>
    </dxf>
    <dxf>
      <numFmt numFmtId="3" formatCode="#,##0"/>
    </dxf>
    <dxf>
      <numFmt numFmtId="0" formatCode="General"/>
      <fill>
        <patternFill>
          <bgColor rgb="FF00B050"/>
        </patternFill>
      </fill>
    </dxf>
    <dxf>
      <fill>
        <patternFill>
          <bgColor rgb="FFC00000"/>
        </patternFill>
      </fill>
    </dxf>
    <dxf>
      <numFmt numFmtId="164" formatCode="0.0E+00"/>
    </dxf>
    <dxf>
      <fill>
        <patternFill>
          <bgColor theme="0"/>
        </patternFill>
      </fill>
    </dxf>
    <dxf>
      <font>
        <color theme="0"/>
      </font>
    </dxf>
    <dxf>
      <numFmt numFmtId="15" formatCode="0.00E+00"/>
    </dxf>
    <dxf>
      <numFmt numFmtId="2" formatCode="0.00"/>
    </dxf>
    <dxf>
      <numFmt numFmtId="167" formatCode="0.0"/>
    </dxf>
    <dxf>
      <numFmt numFmtId="164" formatCode="0.0E+00"/>
    </dxf>
    <dxf>
      <numFmt numFmtId="172" formatCode="#,##0.0"/>
    </dxf>
    <dxf>
      <numFmt numFmtId="3" formatCode="#,##0"/>
    </dxf>
    <dxf>
      <numFmt numFmtId="172" formatCode="#,##0.0"/>
    </dxf>
    <dxf>
      <numFmt numFmtId="4" formatCode="#,##0.00"/>
    </dxf>
    <dxf>
      <numFmt numFmtId="164" formatCode="0.0E+00"/>
    </dxf>
    <dxf>
      <font>
        <color rgb="FFFF0000"/>
      </font>
      <fill>
        <patternFill>
          <bgColor rgb="FFFCAAAA"/>
        </patternFill>
      </fill>
    </dxf>
    <dxf>
      <numFmt numFmtId="164" formatCode="0.0E+00"/>
    </dxf>
    <dxf>
      <numFmt numFmtId="3" formatCode="#,##0"/>
    </dxf>
    <dxf>
      <numFmt numFmtId="4" formatCode="#,##0.00"/>
    </dxf>
    <dxf>
      <numFmt numFmtId="172" formatCode="#,##0.0"/>
    </dxf>
    <dxf>
      <numFmt numFmtId="164" formatCode="0.0E+00"/>
    </dxf>
    <dxf>
      <fill>
        <patternFill>
          <bgColor theme="0"/>
        </patternFill>
      </fill>
    </dxf>
    <dxf>
      <font>
        <color theme="0"/>
      </font>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fill>
        <patternFill>
          <bgColor theme="0"/>
        </patternFill>
      </fill>
    </dxf>
    <dxf>
      <fill>
        <patternFill>
          <bgColor rgb="FFC00000"/>
        </patternFill>
      </fill>
    </dxf>
    <dxf>
      <numFmt numFmtId="172" formatCode="#,##0.0"/>
    </dxf>
    <dxf>
      <numFmt numFmtId="4" formatCode="#,##0.00"/>
    </dxf>
    <dxf>
      <numFmt numFmtId="164" formatCode="0.0E+00"/>
    </dxf>
    <dxf>
      <numFmt numFmtId="3" formatCode="#,##0"/>
    </dxf>
    <dxf>
      <fill>
        <patternFill>
          <bgColor theme="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numFmt numFmtId="164" formatCode="0.0E+00"/>
    </dxf>
    <dxf>
      <fill>
        <patternFill>
          <bgColor theme="0"/>
        </patternFill>
      </fill>
    </dxf>
    <dxf>
      <numFmt numFmtId="172" formatCode="#,##0.0"/>
    </dxf>
    <dxf>
      <numFmt numFmtId="4" formatCode="#,##0.00"/>
    </dxf>
    <dxf>
      <numFmt numFmtId="164" formatCode="0.0E+00"/>
    </dxf>
    <dxf>
      <numFmt numFmtId="3" formatCode="#,##0"/>
    </dxf>
    <dxf>
      <fill>
        <patternFill>
          <bgColor rgb="FF00B050"/>
        </patternFill>
      </fill>
    </dxf>
    <dxf>
      <fill>
        <patternFill>
          <bgColor rgb="FFC00000"/>
        </patternFill>
      </fill>
    </dxf>
    <dxf>
      <numFmt numFmtId="15" formatCode="0.00E+00"/>
    </dxf>
    <dxf>
      <numFmt numFmtId="172" formatCode="#,##0.0"/>
    </dxf>
    <dxf>
      <font>
        <color theme="0"/>
      </font>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numFmt numFmtId="2" formatCode="0.00"/>
    </dxf>
    <dxf>
      <numFmt numFmtId="167" formatCode="0.0"/>
    </dxf>
    <dxf>
      <fill>
        <patternFill>
          <bgColor theme="0"/>
        </patternFill>
      </fill>
    </dxf>
    <dxf>
      <font>
        <color rgb="FFFF0000"/>
      </font>
      <fill>
        <patternFill>
          <bgColor rgb="FFFFBDBD"/>
        </patternFill>
      </fill>
    </dxf>
    <dxf>
      <numFmt numFmtId="164" formatCode="0.0E+00"/>
    </dxf>
    <dxf>
      <numFmt numFmtId="4" formatCode="#,##0.00"/>
    </dxf>
    <dxf>
      <numFmt numFmtId="172" formatCode="#,##0.0"/>
    </dxf>
    <dxf>
      <numFmt numFmtId="3" formatCode="#,##0"/>
    </dxf>
    <dxf>
      <numFmt numFmtId="164" formatCode="0.0E+00"/>
    </dxf>
    <dxf>
      <numFmt numFmtId="2" formatCode="0.00"/>
    </dxf>
    <dxf>
      <numFmt numFmtId="15" formatCode="0.00E+00"/>
    </dxf>
    <dxf>
      <font>
        <color theme="0"/>
      </font>
    </dxf>
    <dxf>
      <fill>
        <patternFill>
          <bgColor theme="0"/>
        </patternFill>
      </fill>
    </dxf>
    <dxf>
      <numFmt numFmtId="164" formatCode="0.0E+00"/>
    </dxf>
    <dxf>
      <numFmt numFmtId="4" formatCode="#,##0.00"/>
    </dxf>
    <dxf>
      <numFmt numFmtId="3" formatCode="#,##0"/>
    </dxf>
    <dxf>
      <numFmt numFmtId="172" formatCode="#,##0.0"/>
    </dxf>
    <dxf>
      <numFmt numFmtId="167" formatCode="0.0"/>
    </dxf>
    <dxf>
      <numFmt numFmtId="172" formatCode="#,##0.0"/>
    </dxf>
    <dxf>
      <numFmt numFmtId="164" formatCode="0.0E+00"/>
    </dxf>
    <dxf>
      <numFmt numFmtId="164" formatCode="0.0E+00"/>
    </dxf>
    <dxf>
      <numFmt numFmtId="172" formatCode="#,##0.0"/>
    </dxf>
    <dxf>
      <numFmt numFmtId="3" formatCode="#,##0"/>
    </dxf>
    <dxf>
      <numFmt numFmtId="164" formatCode="0.0E+00"/>
    </dxf>
    <dxf>
      <fill>
        <patternFill>
          <bgColor theme="0"/>
        </patternFill>
      </fill>
    </dxf>
    <dxf>
      <font>
        <color theme="0"/>
      </font>
    </dxf>
    <dxf>
      <numFmt numFmtId="164" formatCode="0.0E+00"/>
    </dxf>
    <dxf>
      <numFmt numFmtId="4" formatCode="#,##0.00"/>
    </dxf>
    <dxf>
      <font>
        <color rgb="FFFF0000"/>
      </font>
      <fill>
        <patternFill>
          <bgColor rgb="FFFCAAAA"/>
        </patternFill>
      </fill>
    </dxf>
    <dxf>
      <numFmt numFmtId="172" formatCode="#,##0.0"/>
    </dxf>
    <dxf>
      <numFmt numFmtId="4" formatCode="#,##0.00"/>
    </dxf>
    <dxf>
      <numFmt numFmtId="164" formatCode="0.0E+00"/>
    </dxf>
    <dxf>
      <fill>
        <patternFill>
          <bgColor theme="0"/>
        </patternFill>
      </fill>
    </dxf>
    <dxf>
      <font>
        <color rgb="FFFF0000"/>
      </font>
      <fill>
        <patternFill>
          <bgColor rgb="FFFFBDBD"/>
        </patternFill>
      </fill>
    </dxf>
    <dxf>
      <numFmt numFmtId="164" formatCode="0.0E+00"/>
    </dxf>
    <dxf>
      <numFmt numFmtId="3" formatCode="#,##0"/>
    </dxf>
    <dxf>
      <numFmt numFmtId="164" formatCode="0.0E+00"/>
    </dxf>
    <dxf>
      <fill>
        <patternFill>
          <bgColor rgb="FFC00000"/>
        </patternFill>
      </fill>
    </dxf>
    <dxf>
      <fill>
        <patternFill>
          <bgColor theme="0"/>
        </patternFill>
      </fill>
    </dxf>
    <dxf>
      <numFmt numFmtId="172" formatCode="#,##0.0"/>
    </dxf>
    <dxf>
      <numFmt numFmtId="3" formatCode="#,##0"/>
    </dxf>
    <dxf>
      <numFmt numFmtId="164" formatCode="0.0E+00"/>
    </dxf>
    <dxf>
      <numFmt numFmtId="4" formatCode="#,##0.00"/>
    </dxf>
    <dxf>
      <fill>
        <patternFill>
          <bgColor rgb="FFC00000"/>
        </patternFill>
      </fill>
    </dxf>
    <dxf>
      <fill>
        <patternFill>
          <bgColor theme="0"/>
        </patternFill>
      </fill>
    </dxf>
    <dxf>
      <fill>
        <patternFill>
          <bgColor rgb="FF00B050"/>
        </patternFill>
      </fill>
    </dxf>
    <dxf>
      <fill>
        <patternFill>
          <bgColor rgb="FFC00000"/>
        </patternFill>
      </fill>
    </dxf>
    <dxf>
      <fill>
        <patternFill>
          <bgColor rgb="FFC00000"/>
        </patternFill>
      </fill>
    </dxf>
    <dxf>
      <fill>
        <patternFill>
          <bgColor rgb="FF00B050"/>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ill>
        <patternFill>
          <bgColor rgb="FFC00000"/>
        </patternFill>
      </fill>
    </dxf>
    <dxf>
      <fill>
        <patternFill>
          <bgColor rgb="FF00B050"/>
        </patternFill>
      </fill>
    </dxf>
    <dxf>
      <numFmt numFmtId="172" formatCode="#,##0.0"/>
    </dxf>
    <dxf>
      <numFmt numFmtId="164" formatCode="0.0E+00"/>
    </dxf>
    <dxf>
      <numFmt numFmtId="3" formatCode="#,##0"/>
    </dxf>
    <dxf>
      <numFmt numFmtId="172" formatCode="#,##0.0"/>
    </dxf>
    <dxf>
      <numFmt numFmtId="2" formatCode="0.00"/>
    </dxf>
    <dxf>
      <numFmt numFmtId="4" formatCode="#,##0.00"/>
    </dxf>
    <dxf>
      <numFmt numFmtId="164" formatCode="0.0E+00"/>
    </dxf>
    <dxf>
      <fill>
        <patternFill>
          <bgColor theme="0"/>
        </patternFill>
      </fill>
    </dxf>
    <dxf>
      <font>
        <color theme="0"/>
      </font>
    </dxf>
    <dxf>
      <numFmt numFmtId="15" formatCode="0.00E+00"/>
    </dxf>
    <dxf>
      <numFmt numFmtId="164" formatCode="0.0E+00"/>
    </dxf>
    <dxf>
      <numFmt numFmtId="167" formatCode="0.0"/>
    </dxf>
    <dxf>
      <numFmt numFmtId="4" formatCode="#,##0.00"/>
    </dxf>
    <dxf>
      <numFmt numFmtId="172" formatCode="#,##0.0"/>
    </dxf>
    <dxf>
      <numFmt numFmtId="3" formatCode="#,##0"/>
    </dxf>
    <dxf>
      <numFmt numFmtId="164" formatCode="0.0E+00"/>
    </dxf>
    <dxf>
      <font>
        <color rgb="FFFF0000"/>
      </font>
      <fill>
        <patternFill>
          <bgColor rgb="FFFFBDBD"/>
        </patternFill>
      </fill>
    </dxf>
    <dxf>
      <fill>
        <patternFill>
          <bgColor theme="0"/>
        </patternFill>
      </fill>
    </dxf>
    <dxf>
      <numFmt numFmtId="164" formatCode="0.0E+00"/>
    </dxf>
    <dxf>
      <numFmt numFmtId="3" formatCode="#,##0"/>
    </dxf>
    <dxf>
      <numFmt numFmtId="172" formatCode="#,##0.0"/>
    </dxf>
    <dxf>
      <numFmt numFmtId="164" formatCode="0.0E+00"/>
    </dxf>
    <dxf>
      <fill>
        <patternFill>
          <bgColor theme="0"/>
        </patternFill>
      </fill>
    </dxf>
    <dxf>
      <fill>
        <patternFill>
          <bgColor rgb="FFC00000"/>
        </patternFill>
      </fill>
    </dxf>
    <dxf>
      <fill>
        <patternFill>
          <bgColor theme="5" tint="-0.24994659260841701"/>
        </patternFill>
      </fill>
    </dxf>
    <dxf>
      <fill>
        <patternFill>
          <bgColor theme="5"/>
        </patternFill>
      </fill>
    </dxf>
    <dxf>
      <fill>
        <patternFill>
          <bgColor rgb="FFC00000"/>
        </patternFill>
      </fill>
    </dxf>
    <dxf>
      <numFmt numFmtId="0" formatCode="General"/>
      <fill>
        <patternFill>
          <bgColor rgb="FF00B050"/>
        </patternFill>
      </fill>
    </dxf>
    <dxf>
      <numFmt numFmtId="0" formatCode="General"/>
      <fill>
        <patternFill>
          <bgColor rgb="FF00B050"/>
        </patternFill>
      </fill>
    </dxf>
    <dxf>
      <fill>
        <patternFill>
          <bgColor rgb="FFC00000"/>
        </patternFill>
      </fill>
    </dxf>
    <dxf>
      <fill>
        <patternFill>
          <bgColor rgb="FFC00000"/>
        </patternFill>
      </fill>
    </dxf>
    <dxf>
      <numFmt numFmtId="0" formatCode="General"/>
      <fill>
        <patternFill>
          <bgColor rgb="FF00B050"/>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fill>
        <patternFill>
          <bgColor rgb="FFC00000"/>
        </patternFill>
      </fill>
    </dxf>
    <dxf>
      <numFmt numFmtId="164" formatCode="0.0E+00"/>
    </dxf>
    <dxf>
      <numFmt numFmtId="3" formatCode="#,##0"/>
    </dxf>
    <dxf>
      <numFmt numFmtId="164" formatCode="0.0E+00"/>
    </dxf>
    <dxf>
      <fill>
        <patternFill>
          <bgColor theme="0"/>
        </patternFill>
      </fill>
    </dxf>
    <dxf>
      <numFmt numFmtId="4" formatCode="#,##0.00"/>
    </dxf>
    <dxf>
      <numFmt numFmtId="172" formatCode="#,##0.0"/>
    </dxf>
    <dxf>
      <numFmt numFmtId="0" formatCode="General"/>
      <fill>
        <patternFill>
          <bgColor rgb="FF00B050"/>
        </patternFill>
      </fill>
    </dxf>
    <dxf>
      <fill>
        <patternFill>
          <bgColor rgb="FFC00000"/>
        </patternFill>
      </fill>
    </dxf>
    <dxf>
      <numFmt numFmtId="164" formatCode="0.0E+00"/>
    </dxf>
    <dxf>
      <fill>
        <patternFill>
          <bgColor theme="0"/>
        </patternFill>
      </fill>
    </dxf>
    <dxf>
      <numFmt numFmtId="15" formatCode="0.00E+00"/>
    </dxf>
    <dxf>
      <numFmt numFmtId="2" formatCode="0.00"/>
    </dxf>
    <dxf>
      <numFmt numFmtId="167" formatCode="0.0"/>
    </dxf>
    <dxf>
      <numFmt numFmtId="172" formatCode="#,##0.0"/>
    </dxf>
    <dxf>
      <numFmt numFmtId="164" formatCode="0.0E+00"/>
    </dxf>
    <dxf>
      <font>
        <color theme="0"/>
      </font>
    </dxf>
    <dxf>
      <numFmt numFmtId="3" formatCode="#,##0"/>
    </dxf>
    <dxf>
      <numFmt numFmtId="172" formatCode="#,##0.0"/>
    </dxf>
    <dxf>
      <numFmt numFmtId="4" formatCode="#,##0.00"/>
    </dxf>
    <dxf>
      <numFmt numFmtId="164" formatCode="0.0E+00"/>
    </dxf>
    <dxf>
      <font>
        <color rgb="FFFF0000"/>
      </font>
      <fill>
        <patternFill>
          <bgColor rgb="FFFCAAAA"/>
        </patternFill>
      </fill>
    </dxf>
    <dxf>
      <numFmt numFmtId="164" formatCode="0.0E+00"/>
    </dxf>
    <dxf>
      <numFmt numFmtId="4" formatCode="#,##0.00"/>
    </dxf>
    <dxf>
      <numFmt numFmtId="3" formatCode="#,##0"/>
    </dxf>
    <dxf>
      <numFmt numFmtId="172" formatCode="#,##0.0"/>
    </dxf>
    <dxf>
      <numFmt numFmtId="164" formatCode="0.0E+00"/>
    </dxf>
    <dxf>
      <fill>
        <patternFill>
          <bgColor theme="0"/>
        </patternFill>
      </fill>
    </dxf>
    <dxf>
      <font>
        <color theme="0"/>
      </font>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fill>
        <patternFill>
          <bgColor theme="0"/>
        </patternFill>
      </fill>
    </dxf>
    <dxf>
      <fill>
        <patternFill>
          <bgColor rgb="FFC00000"/>
        </patternFill>
      </fill>
    </dxf>
    <dxf>
      <numFmt numFmtId="172" formatCode="#,##0.0"/>
    </dxf>
    <dxf>
      <numFmt numFmtId="3" formatCode="#,##0"/>
    </dxf>
    <dxf>
      <numFmt numFmtId="4" formatCode="#,##0.00"/>
    </dxf>
    <dxf>
      <numFmt numFmtId="164" formatCode="0.0E+00"/>
    </dxf>
    <dxf>
      <fill>
        <patternFill>
          <bgColor rgb="FFC00000"/>
        </patternFill>
      </fill>
    </dxf>
    <dxf>
      <fill>
        <patternFill>
          <bgColor theme="0"/>
        </patternFill>
      </fill>
    </dxf>
    <dxf>
      <fill>
        <patternFill>
          <bgColor rgb="FF00B050"/>
        </patternFill>
      </fill>
    </dxf>
    <dxf>
      <fill>
        <patternFill>
          <bgColor rgb="FFC00000"/>
        </patternFill>
      </fill>
    </dxf>
    <dxf>
      <fill>
        <patternFill>
          <bgColor rgb="FFC00000"/>
        </patternFill>
      </fill>
    </dxf>
    <dxf>
      <fill>
        <patternFill>
          <bgColor rgb="FF00B050"/>
        </patternFill>
      </fill>
    </dxf>
    <dxf>
      <numFmt numFmtId="3" formatCode="#,##0"/>
    </dxf>
    <dxf>
      <numFmt numFmtId="164" formatCode="0.0E+00"/>
    </dxf>
    <dxf>
      <numFmt numFmtId="172" formatCode="#,##0.0"/>
    </dxf>
    <dxf>
      <numFmt numFmtId="4" formatCode="#,##0.00"/>
    </dxf>
    <dxf>
      <numFmt numFmtId="164" formatCode="0.0E+00"/>
    </dxf>
    <dxf>
      <fill>
        <patternFill>
          <bgColor theme="0"/>
        </patternFill>
      </fill>
    </dxf>
    <dxf>
      <fill>
        <patternFill>
          <bgColor rgb="FF00B050"/>
        </patternFill>
      </fill>
    </dxf>
    <dxf>
      <fill>
        <patternFill>
          <bgColor rgb="FFC00000"/>
        </patternFill>
      </fill>
    </dxf>
    <dxf>
      <numFmt numFmtId="164" formatCode="0.0E+00"/>
    </dxf>
    <dxf>
      <numFmt numFmtId="3" formatCode="#,##0"/>
    </dxf>
    <dxf>
      <numFmt numFmtId="172" formatCode="#,##0.0"/>
    </dxf>
    <dxf>
      <numFmt numFmtId="4" formatCode="#,##0.00"/>
    </dxf>
    <dxf>
      <numFmt numFmtId="164" formatCode="0.0E+00"/>
    </dxf>
    <dxf>
      <fill>
        <patternFill>
          <bgColor theme="0"/>
        </patternFill>
      </fill>
    </dxf>
    <dxf>
      <numFmt numFmtId="164" formatCode="0.0E+00"/>
    </dxf>
    <dxf>
      <numFmt numFmtId="172" formatCode="#,##0.0"/>
    </dxf>
    <dxf>
      <numFmt numFmtId="167" formatCode="0.0"/>
    </dxf>
    <dxf>
      <numFmt numFmtId="2" formatCode="0.00"/>
    </dxf>
    <dxf>
      <numFmt numFmtId="15" formatCode="0.00E+00"/>
    </dxf>
    <dxf>
      <font>
        <color theme="0"/>
      </font>
    </dxf>
    <dxf>
      <fill>
        <patternFill>
          <bgColor theme="0"/>
        </patternFill>
      </fill>
    </dxf>
    <dxf>
      <font>
        <color rgb="FFFF0000"/>
      </font>
      <fill>
        <patternFill>
          <bgColor rgb="FFFFBDBD"/>
        </patternFill>
      </fill>
    </dxf>
    <dxf>
      <numFmt numFmtId="164" formatCode="0.0E+00"/>
    </dxf>
    <dxf>
      <numFmt numFmtId="4" formatCode="#,##0.00"/>
    </dxf>
    <dxf>
      <numFmt numFmtId="172" formatCode="#,##0.0"/>
    </dxf>
    <dxf>
      <numFmt numFmtId="3" formatCode="#,##0"/>
    </dxf>
    <dxf>
      <numFmt numFmtId="164" formatCode="0.0E+00"/>
    </dxf>
    <dxf>
      <numFmt numFmtId="172" formatCode="#,##0.0"/>
    </dxf>
    <dxf>
      <numFmt numFmtId="167" formatCode="0.0"/>
    </dxf>
    <dxf>
      <numFmt numFmtId="2" formatCode="0.00"/>
    </dxf>
    <dxf>
      <numFmt numFmtId="15" formatCode="0.00E+00"/>
    </dxf>
    <dxf>
      <font>
        <color theme="0"/>
      </font>
    </dxf>
    <dxf>
      <fill>
        <patternFill>
          <bgColor theme="0"/>
        </patternFill>
      </fill>
    </dxf>
    <dxf>
      <numFmt numFmtId="172" formatCode="#,##0.0"/>
    </dxf>
    <dxf>
      <numFmt numFmtId="4" formatCode="#,##0.00"/>
    </dxf>
    <dxf>
      <numFmt numFmtId="164" formatCode="0.0E+00"/>
    </dxf>
    <dxf>
      <numFmt numFmtId="164" formatCode="0.0E+00"/>
    </dxf>
    <dxf>
      <numFmt numFmtId="3" formatCode="#,##0"/>
    </dxf>
    <dxf>
      <numFmt numFmtId="164" formatCode="0.0E+00"/>
    </dxf>
    <dxf>
      <numFmt numFmtId="172" formatCode="#,##0.0"/>
    </dxf>
    <dxf>
      <numFmt numFmtId="3" formatCode="#,##0"/>
    </dxf>
    <dxf>
      <numFmt numFmtId="164" formatCode="0.0E+00"/>
    </dxf>
    <dxf>
      <fill>
        <patternFill>
          <bgColor theme="0"/>
        </patternFill>
      </fill>
    </dxf>
    <dxf>
      <font>
        <color theme="0"/>
      </font>
    </dxf>
    <dxf>
      <numFmt numFmtId="164" formatCode="0.0E+00"/>
    </dxf>
    <dxf>
      <numFmt numFmtId="4" formatCode="#,##0.00"/>
    </dxf>
    <dxf>
      <font>
        <color rgb="FFFF0000"/>
      </font>
      <fill>
        <patternFill>
          <bgColor rgb="FFFCAAAA"/>
        </patternFill>
      </fill>
    </dxf>
    <dxf>
      <numFmt numFmtId="172" formatCode="#,##0.0"/>
    </dxf>
    <dxf>
      <numFmt numFmtId="4" formatCode="#,##0.00"/>
    </dxf>
    <dxf>
      <numFmt numFmtId="164" formatCode="0.0E+00"/>
    </dxf>
    <dxf>
      <fill>
        <patternFill>
          <bgColor theme="0"/>
        </patternFill>
      </fill>
    </dxf>
    <dxf>
      <font>
        <color rgb="FFFF0000"/>
      </font>
      <fill>
        <patternFill>
          <bgColor rgb="FFFFBDBD"/>
        </patternFill>
      </fill>
    </dxf>
    <dxf>
      <numFmt numFmtId="164" formatCode="0.0E+00"/>
    </dxf>
    <dxf>
      <numFmt numFmtId="3" formatCode="#,##0"/>
    </dxf>
    <dxf>
      <numFmt numFmtId="164" formatCode="0.0E+00"/>
    </dxf>
    <dxf>
      <fill>
        <patternFill>
          <bgColor rgb="FFC00000"/>
        </patternFill>
      </fill>
    </dxf>
    <dxf>
      <fill>
        <patternFill>
          <bgColor theme="0"/>
        </patternFill>
      </fill>
    </dxf>
    <dxf>
      <numFmt numFmtId="3" formatCode="#,##0"/>
    </dxf>
    <dxf>
      <numFmt numFmtId="164" formatCode="0.0E+00"/>
    </dxf>
    <dxf>
      <numFmt numFmtId="172" formatCode="#,##0.0"/>
    </dxf>
    <dxf>
      <numFmt numFmtId="4" formatCode="#,##0.00"/>
    </dxf>
    <dxf>
      <fill>
        <patternFill>
          <bgColor rgb="FFC00000"/>
        </patternFill>
      </fill>
    </dxf>
    <dxf>
      <fill>
        <patternFill>
          <bgColor theme="0"/>
        </patternFill>
      </fill>
    </dxf>
    <dxf>
      <fill>
        <patternFill>
          <bgColor rgb="FF00B050"/>
        </patternFill>
      </fill>
    </dxf>
    <dxf>
      <fill>
        <patternFill>
          <bgColor rgb="FFC00000"/>
        </patternFill>
      </fill>
    </dxf>
    <dxf>
      <fill>
        <patternFill>
          <bgColor rgb="FF00B050"/>
        </patternFill>
      </fill>
    </dxf>
    <dxf>
      <fill>
        <patternFill>
          <bgColor rgb="FFC00000"/>
        </patternFill>
      </fill>
    </dxf>
    <dxf>
      <numFmt numFmtId="172" formatCode="#,##0.0"/>
    </dxf>
    <dxf>
      <numFmt numFmtId="4" formatCode="#,##0.00"/>
    </dxf>
    <dxf>
      <numFmt numFmtId="164" formatCode="0.0E+00"/>
    </dxf>
    <dxf>
      <fill>
        <patternFill>
          <bgColor theme="0"/>
        </patternFill>
      </fill>
    </dxf>
    <dxf>
      <numFmt numFmtId="164" formatCode="0.0E+00"/>
    </dxf>
    <dxf>
      <numFmt numFmtId="3" formatCode="#,##0"/>
    </dxf>
    <dxf>
      <fill>
        <patternFill>
          <bgColor rgb="FF00B050"/>
        </patternFill>
      </fill>
    </dxf>
    <dxf>
      <fill>
        <patternFill>
          <bgColor rgb="FFC00000"/>
        </patternFill>
      </fill>
    </dxf>
    <dxf>
      <numFmt numFmtId="167" formatCode="0.0"/>
    </dxf>
    <dxf>
      <numFmt numFmtId="2" formatCode="0.00"/>
    </dxf>
    <dxf>
      <numFmt numFmtId="15" formatCode="0.00E+00"/>
    </dxf>
    <dxf>
      <font>
        <color theme="0"/>
      </font>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72" formatCode="#,##0.0"/>
    </dxf>
    <dxf>
      <numFmt numFmtId="164" formatCode="0.0E+00"/>
    </dxf>
    <dxf>
      <numFmt numFmtId="3" formatCode="#,##0"/>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164" formatCode="0.0E+00"/>
    </dxf>
    <dxf>
      <numFmt numFmtId="3" formatCode="#,##0"/>
    </dxf>
    <dxf>
      <numFmt numFmtId="172" formatCode="#,##0.0"/>
    </dxf>
    <dxf>
      <numFmt numFmtId="164" formatCode="0.0E+00"/>
    </dxf>
    <dxf>
      <fill>
        <patternFill>
          <bgColor theme="0"/>
        </patternFill>
      </fill>
    </dxf>
    <dxf>
      <fill>
        <patternFill>
          <bgColor rgb="FFC00000"/>
        </patternFill>
      </fill>
    </dxf>
    <dxf>
      <fill>
        <patternFill>
          <bgColor theme="5" tint="-0.24994659260841701"/>
        </patternFill>
      </fill>
    </dxf>
    <dxf>
      <fill>
        <patternFill>
          <bgColor theme="5"/>
        </patternFill>
      </fill>
    </dxf>
    <dxf>
      <numFmt numFmtId="0" formatCode="General"/>
      <fill>
        <patternFill>
          <bgColor rgb="FF00B050"/>
        </patternFill>
      </fill>
    </dxf>
    <dxf>
      <fill>
        <patternFill>
          <bgColor rgb="FFC00000"/>
        </patternFill>
      </fill>
    </dxf>
    <dxf>
      <fill>
        <patternFill>
          <bgColor rgb="FFC00000"/>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fill>
        <patternFill>
          <bgColor rgb="FFC00000"/>
        </patternFill>
      </fill>
    </dxf>
    <dxf>
      <numFmt numFmtId="172" formatCode="#,##0.0"/>
    </dxf>
    <dxf>
      <numFmt numFmtId="4" formatCode="#,##0.00"/>
    </dxf>
    <dxf>
      <fill>
        <patternFill>
          <bgColor theme="0"/>
        </patternFill>
      </fill>
    </dxf>
    <dxf>
      <numFmt numFmtId="164" formatCode="0.0E+00"/>
    </dxf>
    <dxf>
      <numFmt numFmtId="3" formatCode="#,##0"/>
    </dxf>
    <dxf>
      <numFmt numFmtId="164" formatCode="0.0E+00"/>
    </dxf>
    <dxf>
      <numFmt numFmtId="0" formatCode="General"/>
      <fill>
        <patternFill>
          <bgColor rgb="FF00B050"/>
        </patternFill>
      </fill>
    </dxf>
    <dxf>
      <fill>
        <patternFill>
          <bgColor rgb="FFC00000"/>
        </patternFill>
      </fill>
    </dxf>
    <dxf>
      <font>
        <color theme="0"/>
      </font>
    </dxf>
    <dxf>
      <fill>
        <patternFill>
          <bgColor theme="0"/>
        </patternFill>
      </fill>
    </dxf>
    <dxf>
      <numFmt numFmtId="164" formatCode="0.0E+00"/>
    </dxf>
    <dxf>
      <numFmt numFmtId="4" formatCode="#,##0.00"/>
    </dxf>
    <dxf>
      <numFmt numFmtId="172" formatCode="#,##0.0"/>
    </dxf>
    <dxf>
      <numFmt numFmtId="164" formatCode="0.0E+00"/>
    </dxf>
    <dxf>
      <numFmt numFmtId="164" formatCode="0.0E+00"/>
    </dxf>
    <dxf>
      <numFmt numFmtId="3" formatCode="#,##0"/>
    </dxf>
    <dxf>
      <numFmt numFmtId="172" formatCode="#,##0.0"/>
    </dxf>
    <dxf>
      <numFmt numFmtId="167" formatCode="0.0"/>
    </dxf>
    <dxf>
      <numFmt numFmtId="2" formatCode="0.00"/>
    </dxf>
    <dxf>
      <numFmt numFmtId="15" formatCode="0.00E+00"/>
    </dxf>
    <dxf>
      <font>
        <color theme="0"/>
      </font>
    </dxf>
    <dxf>
      <numFmt numFmtId="164" formatCode="0.0E+00"/>
    </dxf>
    <dxf>
      <fill>
        <patternFill>
          <bgColor theme="0"/>
        </patternFill>
      </fill>
    </dxf>
    <dxf>
      <numFmt numFmtId="4" formatCode="#,##0.00"/>
    </dxf>
    <dxf>
      <numFmt numFmtId="172" formatCode="#,##0.0"/>
    </dxf>
    <dxf>
      <numFmt numFmtId="3" formatCode="#,##0"/>
    </dxf>
    <dxf>
      <numFmt numFmtId="164" formatCode="0.0E+00"/>
    </dxf>
    <dxf>
      <font>
        <color rgb="FFFF0000"/>
      </font>
      <fill>
        <patternFill>
          <bgColor rgb="FFFCAAAA"/>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ont>
        <color rgb="FFFF0000"/>
      </font>
      <fill>
        <patternFill>
          <bgColor rgb="FFFFBDBD"/>
        </patternFill>
      </fill>
    </dxf>
    <dxf>
      <numFmt numFmtId="164" formatCode="0.0E+00"/>
    </dxf>
    <dxf>
      <fill>
        <patternFill>
          <bgColor rgb="FFC00000"/>
        </patternFill>
      </fill>
    </dxf>
    <dxf>
      <fill>
        <patternFill>
          <bgColor theme="0"/>
        </patternFill>
      </fill>
    </dxf>
    <dxf>
      <numFmt numFmtId="164" formatCode="0.0E+00"/>
    </dxf>
    <dxf>
      <numFmt numFmtId="3" formatCode="#,##0"/>
    </dxf>
    <dxf>
      <numFmt numFmtId="172" formatCode="#,##0.0"/>
    </dxf>
    <dxf>
      <numFmt numFmtId="4" formatCode="#,##0.00"/>
    </dxf>
    <dxf>
      <fill>
        <patternFill>
          <bgColor rgb="FFC00000"/>
        </patternFill>
      </fill>
    </dxf>
    <dxf>
      <fill>
        <patternFill>
          <bgColor theme="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theme="0"/>
        </patternFill>
      </fill>
    </dxf>
    <dxf>
      <numFmt numFmtId="4" formatCode="#,##0.00"/>
    </dxf>
    <dxf>
      <numFmt numFmtId="172" formatCode="#,##0.0"/>
    </dxf>
    <dxf>
      <numFmt numFmtId="3" formatCode="#,##0"/>
    </dxf>
    <dxf>
      <numFmt numFmtId="164" formatCode="0.0E+00"/>
    </dxf>
    <dxf>
      <numFmt numFmtId="164" formatCode="0.0E+00"/>
    </dxf>
    <dxf>
      <fill>
        <patternFill>
          <bgColor rgb="FFC00000"/>
        </patternFill>
      </fill>
    </dxf>
    <dxf>
      <fill>
        <patternFill>
          <bgColor rgb="FF00B050"/>
        </patternFill>
      </fill>
    </dxf>
    <dxf>
      <fill>
        <patternFill>
          <bgColor theme="0"/>
        </patternFill>
      </fill>
    </dxf>
    <dxf>
      <font>
        <color rgb="FFFF0000"/>
      </font>
      <fill>
        <patternFill>
          <bgColor rgb="FFFFBDBD"/>
        </patternFill>
      </fill>
    </dxf>
    <dxf>
      <numFmt numFmtId="164" formatCode="0.0E+00"/>
    </dxf>
    <dxf>
      <numFmt numFmtId="4" formatCode="#,##0.00"/>
    </dxf>
    <dxf>
      <numFmt numFmtId="172" formatCode="#,##0.0"/>
    </dxf>
    <dxf>
      <numFmt numFmtId="3" formatCode="#,##0"/>
    </dxf>
    <dxf>
      <numFmt numFmtId="164" formatCode="0.0E+00"/>
    </dxf>
    <dxf>
      <numFmt numFmtId="2" formatCode="0.00"/>
    </dxf>
    <dxf>
      <numFmt numFmtId="15" formatCode="0.00E+00"/>
    </dxf>
    <dxf>
      <font>
        <color theme="0"/>
      </font>
    </dxf>
    <dxf>
      <fill>
        <patternFill>
          <bgColor theme="0"/>
        </patternFill>
      </fill>
    </dxf>
    <dxf>
      <numFmt numFmtId="164" formatCode="0.0E+00"/>
    </dxf>
    <dxf>
      <numFmt numFmtId="4" formatCode="#,##0.00"/>
    </dxf>
    <dxf>
      <numFmt numFmtId="3" formatCode="#,##0"/>
    </dxf>
    <dxf>
      <numFmt numFmtId="172" formatCode="#,##0.0"/>
    </dxf>
    <dxf>
      <numFmt numFmtId="167" formatCode="0.0"/>
    </dxf>
    <dxf>
      <numFmt numFmtId="172" formatCode="#,##0.0"/>
    </dxf>
    <dxf>
      <numFmt numFmtId="164" formatCode="0.0E+00"/>
    </dxf>
    <dxf>
      <numFmt numFmtId="164" formatCode="0.0E+00"/>
    </dxf>
    <dxf>
      <numFmt numFmtId="172" formatCode="#,##0.0"/>
    </dxf>
    <dxf>
      <numFmt numFmtId="3" formatCode="#,##0"/>
    </dxf>
    <dxf>
      <numFmt numFmtId="164" formatCode="0.0E+00"/>
    </dxf>
    <dxf>
      <fill>
        <patternFill>
          <bgColor theme="0"/>
        </patternFill>
      </fill>
    </dxf>
    <dxf>
      <font>
        <color theme="0"/>
      </font>
    </dxf>
    <dxf>
      <numFmt numFmtId="164" formatCode="0.0E+00"/>
    </dxf>
    <dxf>
      <numFmt numFmtId="4" formatCode="#,##0.00"/>
    </dxf>
    <dxf>
      <font>
        <color rgb="FFFF0000"/>
      </font>
      <fill>
        <patternFill>
          <bgColor rgb="FFFCAAAA"/>
        </patternFill>
      </fill>
    </dxf>
    <dxf>
      <numFmt numFmtId="172" formatCode="#,##0.0"/>
    </dxf>
    <dxf>
      <numFmt numFmtId="4" formatCode="#,##0.00"/>
    </dxf>
    <dxf>
      <numFmt numFmtId="164" formatCode="0.0E+00"/>
    </dxf>
    <dxf>
      <fill>
        <patternFill>
          <bgColor theme="0"/>
        </patternFill>
      </fill>
    </dxf>
    <dxf>
      <font>
        <color rgb="FFFF0000"/>
      </font>
      <fill>
        <patternFill>
          <bgColor rgb="FFFFBDBD"/>
        </patternFill>
      </fill>
    </dxf>
    <dxf>
      <numFmt numFmtId="164" formatCode="0.0E+00"/>
    </dxf>
    <dxf>
      <numFmt numFmtId="3" formatCode="#,##0"/>
    </dxf>
    <dxf>
      <numFmt numFmtId="164" formatCode="0.0E+00"/>
    </dxf>
    <dxf>
      <fill>
        <patternFill>
          <bgColor rgb="FFC00000"/>
        </patternFill>
      </fill>
    </dxf>
    <dxf>
      <fill>
        <patternFill>
          <bgColor theme="0"/>
        </patternFill>
      </fill>
    </dxf>
    <dxf>
      <numFmt numFmtId="172" formatCode="#,##0.0"/>
    </dxf>
    <dxf>
      <numFmt numFmtId="3" formatCode="#,##0"/>
    </dxf>
    <dxf>
      <numFmt numFmtId="164" formatCode="0.0E+00"/>
    </dxf>
    <dxf>
      <numFmt numFmtId="4" formatCode="#,##0.00"/>
    </dxf>
    <dxf>
      <fill>
        <patternFill>
          <bgColor rgb="FFC00000"/>
        </patternFill>
      </fill>
    </dxf>
    <dxf>
      <fill>
        <patternFill>
          <bgColor theme="0"/>
        </patternFill>
      </fill>
    </dxf>
    <dxf>
      <fill>
        <patternFill>
          <bgColor rgb="FF00B050"/>
        </patternFill>
      </fill>
    </dxf>
    <dxf>
      <fill>
        <patternFill>
          <bgColor rgb="FFC00000"/>
        </patternFill>
      </fill>
    </dxf>
    <dxf>
      <fill>
        <patternFill>
          <bgColor rgb="FFC00000"/>
        </patternFill>
      </fill>
    </dxf>
    <dxf>
      <fill>
        <patternFill>
          <bgColor rgb="FF00B050"/>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ill>
        <patternFill>
          <bgColor rgb="FFC00000"/>
        </patternFill>
      </fill>
    </dxf>
    <dxf>
      <fill>
        <patternFill>
          <bgColor rgb="FF00B050"/>
        </patternFill>
      </fill>
    </dxf>
    <dxf>
      <numFmt numFmtId="172" formatCode="#,##0.0"/>
    </dxf>
    <dxf>
      <numFmt numFmtId="164" formatCode="0.0E+00"/>
    </dxf>
    <dxf>
      <numFmt numFmtId="3" formatCode="#,##0"/>
    </dxf>
    <dxf>
      <numFmt numFmtId="172" formatCode="#,##0.0"/>
    </dxf>
    <dxf>
      <numFmt numFmtId="2" formatCode="0.00"/>
    </dxf>
    <dxf>
      <numFmt numFmtId="4" formatCode="#,##0.00"/>
    </dxf>
    <dxf>
      <numFmt numFmtId="164" formatCode="0.0E+00"/>
    </dxf>
    <dxf>
      <fill>
        <patternFill>
          <bgColor theme="0"/>
        </patternFill>
      </fill>
    </dxf>
    <dxf>
      <font>
        <color theme="0"/>
      </font>
    </dxf>
    <dxf>
      <numFmt numFmtId="15" formatCode="0.00E+00"/>
    </dxf>
    <dxf>
      <numFmt numFmtId="164" formatCode="0.0E+00"/>
    </dxf>
    <dxf>
      <numFmt numFmtId="167" formatCode="0.0"/>
    </dxf>
    <dxf>
      <numFmt numFmtId="4" formatCode="#,##0.00"/>
    </dxf>
    <dxf>
      <numFmt numFmtId="172" formatCode="#,##0.0"/>
    </dxf>
    <dxf>
      <numFmt numFmtId="3" formatCode="#,##0"/>
    </dxf>
    <dxf>
      <numFmt numFmtId="164" formatCode="0.0E+00"/>
    </dxf>
    <dxf>
      <font>
        <color rgb="FFFF0000"/>
      </font>
      <fill>
        <patternFill>
          <bgColor rgb="FFFFBDBD"/>
        </patternFill>
      </fill>
    </dxf>
    <dxf>
      <fill>
        <patternFill>
          <bgColor theme="0"/>
        </patternFill>
      </fill>
    </dxf>
    <dxf>
      <numFmt numFmtId="164" formatCode="0.0E+00"/>
    </dxf>
    <dxf>
      <numFmt numFmtId="3" formatCode="#,##0"/>
    </dxf>
    <dxf>
      <numFmt numFmtId="172" formatCode="#,##0.0"/>
    </dxf>
    <dxf>
      <numFmt numFmtId="164" formatCode="0.0E+00"/>
    </dxf>
    <dxf>
      <fill>
        <patternFill>
          <bgColor theme="0"/>
        </patternFill>
      </fill>
    </dxf>
    <dxf>
      <fill>
        <patternFill>
          <bgColor rgb="FFC00000"/>
        </patternFill>
      </fill>
    </dxf>
    <dxf>
      <fill>
        <patternFill>
          <bgColor theme="5" tint="-0.24994659260841701"/>
        </patternFill>
      </fill>
    </dxf>
    <dxf>
      <fill>
        <patternFill>
          <bgColor theme="5"/>
        </patternFill>
      </fill>
    </dxf>
    <dxf>
      <fill>
        <patternFill>
          <bgColor rgb="FFC00000"/>
        </patternFill>
      </fill>
    </dxf>
    <dxf>
      <numFmt numFmtId="0" formatCode="General"/>
      <fill>
        <patternFill>
          <bgColor rgb="FF00B050"/>
        </patternFill>
      </fill>
    </dxf>
    <dxf>
      <numFmt numFmtId="0" formatCode="General"/>
      <fill>
        <patternFill>
          <bgColor rgb="FF00B050"/>
        </patternFill>
      </fill>
    </dxf>
    <dxf>
      <fill>
        <patternFill>
          <bgColor rgb="FFC00000"/>
        </patternFill>
      </fill>
    </dxf>
    <dxf>
      <fill>
        <patternFill>
          <bgColor rgb="FFC00000"/>
        </patternFill>
      </fill>
    </dxf>
    <dxf>
      <numFmt numFmtId="0" formatCode="General"/>
      <fill>
        <patternFill>
          <bgColor rgb="FF00B050"/>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fill>
        <patternFill>
          <bgColor rgb="FFC00000"/>
        </patternFill>
      </fill>
    </dxf>
    <dxf>
      <numFmt numFmtId="164" formatCode="0.0E+00"/>
    </dxf>
    <dxf>
      <numFmt numFmtId="3" formatCode="#,##0"/>
    </dxf>
    <dxf>
      <numFmt numFmtId="164" formatCode="0.0E+00"/>
    </dxf>
    <dxf>
      <fill>
        <patternFill>
          <bgColor theme="0"/>
        </patternFill>
      </fill>
    </dxf>
    <dxf>
      <numFmt numFmtId="4" formatCode="#,##0.00"/>
    </dxf>
    <dxf>
      <numFmt numFmtId="172" formatCode="#,##0.0"/>
    </dxf>
    <dxf>
      <numFmt numFmtId="0" formatCode="General"/>
      <fill>
        <patternFill>
          <bgColor rgb="FF00B050"/>
        </patternFill>
      </fill>
    </dxf>
    <dxf>
      <fill>
        <patternFill>
          <bgColor rgb="FFC00000"/>
        </patternFill>
      </fill>
    </dxf>
    <dxf>
      <numFmt numFmtId="164" formatCode="0.0E+00"/>
    </dxf>
    <dxf>
      <fill>
        <patternFill>
          <bgColor theme="0"/>
        </patternFill>
      </fill>
    </dxf>
    <dxf>
      <numFmt numFmtId="15" formatCode="0.00E+00"/>
    </dxf>
    <dxf>
      <numFmt numFmtId="2" formatCode="0.00"/>
    </dxf>
    <dxf>
      <numFmt numFmtId="167" formatCode="0.0"/>
    </dxf>
    <dxf>
      <numFmt numFmtId="172" formatCode="#,##0.0"/>
    </dxf>
    <dxf>
      <numFmt numFmtId="164" formatCode="0.0E+00"/>
    </dxf>
    <dxf>
      <font>
        <color theme="0"/>
      </font>
    </dxf>
    <dxf>
      <numFmt numFmtId="3" formatCode="#,##0"/>
    </dxf>
    <dxf>
      <numFmt numFmtId="172" formatCode="#,##0.0"/>
    </dxf>
    <dxf>
      <numFmt numFmtId="4" formatCode="#,##0.00"/>
    </dxf>
    <dxf>
      <numFmt numFmtId="164" formatCode="0.0E+00"/>
    </dxf>
    <dxf>
      <font>
        <color rgb="FFFF0000"/>
      </font>
      <fill>
        <patternFill>
          <bgColor rgb="FFFCAAAA"/>
        </patternFill>
      </fill>
    </dxf>
    <dxf>
      <numFmt numFmtId="164" formatCode="0.0E+00"/>
    </dxf>
    <dxf>
      <numFmt numFmtId="4" formatCode="#,##0.00"/>
    </dxf>
    <dxf>
      <numFmt numFmtId="3" formatCode="#,##0"/>
    </dxf>
    <dxf>
      <numFmt numFmtId="172" formatCode="#,##0.0"/>
    </dxf>
    <dxf>
      <numFmt numFmtId="164" formatCode="0.0E+00"/>
    </dxf>
    <dxf>
      <fill>
        <patternFill>
          <bgColor theme="0"/>
        </patternFill>
      </fill>
    </dxf>
    <dxf>
      <font>
        <color theme="0"/>
      </font>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ill>
        <patternFill>
          <bgColor rgb="FFC00000"/>
        </patternFill>
      </fill>
    </dxf>
    <dxf>
      <numFmt numFmtId="164" formatCode="0.0E+00"/>
    </dxf>
    <dxf>
      <fill>
        <patternFill>
          <bgColor theme="0"/>
        </patternFill>
      </fill>
    </dxf>
    <dxf>
      <numFmt numFmtId="3" formatCode="#,##0"/>
    </dxf>
    <dxf>
      <numFmt numFmtId="172" formatCode="#,##0.0"/>
    </dxf>
    <dxf>
      <numFmt numFmtId="164" formatCode="0.0E+00"/>
    </dxf>
    <dxf>
      <numFmt numFmtId="4" formatCode="#,##0.00"/>
    </dxf>
    <dxf>
      <fill>
        <patternFill>
          <bgColor theme="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numFmt numFmtId="164" formatCode="0.0E+00"/>
    </dxf>
    <dxf>
      <numFmt numFmtId="3" formatCode="#,##0"/>
    </dxf>
    <dxf>
      <numFmt numFmtId="172" formatCode="#,##0.0"/>
    </dxf>
    <dxf>
      <numFmt numFmtId="4" formatCode="#,##0.00"/>
    </dxf>
    <dxf>
      <numFmt numFmtId="164" formatCode="0.0E+00"/>
    </dxf>
    <dxf>
      <fill>
        <patternFill>
          <bgColor theme="0"/>
        </patternFill>
      </fill>
    </dxf>
    <dxf>
      <fill>
        <patternFill>
          <bgColor rgb="FF00B050"/>
        </patternFill>
      </fill>
    </dxf>
    <dxf>
      <fill>
        <patternFill>
          <bgColor rgb="FFC00000"/>
        </patternFill>
      </fill>
    </dxf>
    <dxf>
      <numFmt numFmtId="164" formatCode="0.0E+00"/>
    </dxf>
    <dxf>
      <font>
        <color theme="0"/>
      </font>
    </dxf>
    <dxf>
      <numFmt numFmtId="15" formatCode="0.00E+00"/>
    </dxf>
    <dxf>
      <numFmt numFmtId="2" formatCode="0.00"/>
    </dxf>
    <dxf>
      <numFmt numFmtId="167" formatCode="0.0"/>
    </dxf>
    <dxf>
      <numFmt numFmtId="172" formatCode="#,##0.0"/>
    </dxf>
    <dxf>
      <fill>
        <patternFill>
          <bgColor theme="0"/>
        </patternFill>
      </fill>
    </dxf>
    <dxf>
      <numFmt numFmtId="164" formatCode="0.0E+00"/>
    </dxf>
    <dxf>
      <numFmt numFmtId="172" formatCode="#,##0.0"/>
    </dxf>
    <dxf>
      <numFmt numFmtId="164" formatCode="0.0E+00"/>
    </dxf>
    <dxf>
      <numFmt numFmtId="3" formatCode="#,##0"/>
    </dxf>
    <dxf>
      <numFmt numFmtId="4" formatCode="#,##0.00"/>
    </dxf>
    <dxf>
      <numFmt numFmtId="172" formatCode="#,##0.0"/>
    </dxf>
    <dxf>
      <font>
        <color rgb="FFFF0000"/>
      </font>
      <fill>
        <patternFill>
          <bgColor rgb="FFFFBDBD"/>
        </patternFill>
      </fill>
    </dxf>
    <dxf>
      <fill>
        <patternFill>
          <bgColor theme="0"/>
        </patternFill>
      </fill>
    </dxf>
    <dxf>
      <numFmt numFmtId="164" formatCode="0.0E+00"/>
    </dxf>
    <dxf>
      <numFmt numFmtId="4" formatCode="#,##0.00"/>
    </dxf>
    <dxf>
      <numFmt numFmtId="3" formatCode="#,##0"/>
    </dxf>
    <dxf>
      <numFmt numFmtId="164" formatCode="0.0E+00"/>
    </dxf>
    <dxf>
      <numFmt numFmtId="3" formatCode="#,##0"/>
    </dxf>
    <dxf>
      <numFmt numFmtId="172" formatCode="#,##0.0"/>
    </dxf>
    <dxf>
      <numFmt numFmtId="164" formatCode="0.0E+00"/>
    </dxf>
    <dxf>
      <fill>
        <patternFill>
          <bgColor theme="0"/>
        </patternFill>
      </fill>
    </dxf>
    <dxf>
      <fill>
        <patternFill>
          <bgColor rgb="FFC00000"/>
        </patternFill>
      </fill>
    </dxf>
    <dxf>
      <fill>
        <patternFill>
          <bgColor theme="5" tint="-0.24994659260841701"/>
        </patternFill>
      </fill>
    </dxf>
    <dxf>
      <fill>
        <patternFill>
          <bgColor theme="5"/>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fill>
        <patternFill>
          <bgColor rgb="FFC00000"/>
        </patternFill>
      </fill>
    </dxf>
    <dxf>
      <numFmt numFmtId="172" formatCode="#,##0.0"/>
    </dxf>
    <dxf>
      <numFmt numFmtId="4" formatCode="#,##0.00"/>
    </dxf>
    <dxf>
      <fill>
        <patternFill>
          <bgColor theme="0"/>
        </patternFill>
      </fill>
    </dxf>
    <dxf>
      <numFmt numFmtId="164" formatCode="0.0E+00"/>
    </dxf>
    <dxf>
      <numFmt numFmtId="3" formatCode="#,##0"/>
    </dxf>
    <dxf>
      <numFmt numFmtId="164" formatCode="0.0E+00"/>
    </dxf>
    <dxf>
      <numFmt numFmtId="0" formatCode="General"/>
      <fill>
        <patternFill>
          <bgColor rgb="FF00B050"/>
        </patternFill>
      </fill>
    </dxf>
    <dxf>
      <fill>
        <patternFill>
          <bgColor rgb="FFC00000"/>
        </patternFill>
      </fill>
    </dxf>
    <dxf>
      <numFmt numFmtId="3" formatCode="#,##0"/>
    </dxf>
    <dxf>
      <numFmt numFmtId="164" formatCode="0.0E+00"/>
    </dxf>
    <dxf>
      <numFmt numFmtId="164" formatCode="0.0E+00"/>
    </dxf>
    <dxf>
      <numFmt numFmtId="172" formatCode="#,##0.0"/>
    </dxf>
    <dxf>
      <numFmt numFmtId="167" formatCode="0.0"/>
    </dxf>
    <dxf>
      <numFmt numFmtId="2" formatCode="0.00"/>
    </dxf>
    <dxf>
      <numFmt numFmtId="15" formatCode="0.00E+00"/>
    </dxf>
    <dxf>
      <font>
        <color theme="0"/>
      </font>
    </dxf>
    <dxf>
      <fill>
        <patternFill>
          <bgColor theme="0"/>
        </patternFill>
      </fill>
    </dxf>
    <dxf>
      <numFmt numFmtId="164" formatCode="0.0E+00"/>
    </dxf>
    <dxf>
      <numFmt numFmtId="4" formatCode="#,##0.00"/>
    </dxf>
    <dxf>
      <numFmt numFmtId="172" formatCode="#,##0.0"/>
    </dxf>
    <dxf>
      <numFmt numFmtId="164" formatCode="0.0E+00"/>
    </dxf>
    <dxf>
      <font>
        <color theme="0"/>
      </font>
    </dxf>
    <dxf>
      <fill>
        <patternFill>
          <bgColor theme="0"/>
        </patternFill>
      </fill>
    </dxf>
    <dxf>
      <numFmt numFmtId="164" formatCode="0.0E+00"/>
    </dxf>
    <dxf>
      <numFmt numFmtId="4" formatCode="#,##0.00"/>
    </dxf>
    <dxf>
      <numFmt numFmtId="172" formatCode="#,##0.0"/>
    </dxf>
    <dxf>
      <numFmt numFmtId="3" formatCode="#,##0"/>
    </dxf>
    <dxf>
      <font>
        <color rgb="FFFF0000"/>
      </font>
      <fill>
        <patternFill>
          <bgColor rgb="FFFCAAAA"/>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ont>
        <color rgb="FFFF0000"/>
      </font>
      <fill>
        <patternFill>
          <bgColor rgb="FFFFBDBD"/>
        </patternFill>
      </fill>
    </dxf>
    <dxf>
      <fill>
        <patternFill>
          <bgColor theme="0"/>
        </patternFill>
      </fill>
    </dxf>
    <dxf>
      <fill>
        <patternFill>
          <bgColor rgb="FFC00000"/>
        </patternFill>
      </fill>
    </dxf>
    <dxf>
      <numFmt numFmtId="164" formatCode="0.0E+00"/>
    </dxf>
    <dxf>
      <numFmt numFmtId="3" formatCode="#,##0"/>
    </dxf>
    <dxf>
      <numFmt numFmtId="164" formatCode="0.0E+00"/>
    </dxf>
    <dxf>
      <numFmt numFmtId="4" formatCode="#,##0.00"/>
    </dxf>
    <dxf>
      <numFmt numFmtId="172" formatCode="#,##0.0"/>
    </dxf>
    <dxf>
      <fill>
        <patternFill>
          <bgColor rgb="FFC00000"/>
        </patternFill>
      </fill>
    </dxf>
    <dxf>
      <fill>
        <patternFill>
          <bgColor theme="0"/>
        </patternFill>
      </fill>
    </dxf>
    <dxf>
      <fill>
        <patternFill>
          <bgColor rgb="FF00B050"/>
        </patternFill>
      </fill>
    </dxf>
    <dxf>
      <fill>
        <patternFill>
          <bgColor rgb="FFC00000"/>
        </patternFill>
      </fill>
    </dxf>
    <dxf>
      <fill>
        <patternFill>
          <bgColor rgb="FF00B050"/>
        </patternFill>
      </fill>
    </dxf>
    <dxf>
      <fill>
        <patternFill>
          <bgColor rgb="FFC00000"/>
        </patternFill>
      </fill>
    </dxf>
    <dxf>
      <numFmt numFmtId="164" formatCode="0.0E+00"/>
    </dxf>
    <dxf>
      <numFmt numFmtId="3" formatCode="#,##0"/>
    </dxf>
    <dxf>
      <numFmt numFmtId="172" formatCode="#,##0.0"/>
    </dxf>
    <dxf>
      <numFmt numFmtId="4" formatCode="#,##0.00"/>
    </dxf>
    <dxf>
      <numFmt numFmtId="164" formatCode="0.0E+00"/>
    </dxf>
    <dxf>
      <fill>
        <patternFill>
          <bgColor theme="0"/>
        </patternFill>
      </fill>
    </dxf>
    <dxf>
      <fill>
        <patternFill>
          <bgColor rgb="FF00B050"/>
        </patternFill>
      </fill>
    </dxf>
    <dxf>
      <fill>
        <patternFill>
          <bgColor rgb="FFC00000"/>
        </patternFill>
      </fill>
    </dxf>
    <dxf>
      <numFmt numFmtId="15" formatCode="0.00E+00"/>
    </dxf>
    <dxf>
      <numFmt numFmtId="2" formatCode="0.00"/>
    </dxf>
    <dxf>
      <numFmt numFmtId="167" formatCode="0.0"/>
    </dxf>
    <dxf>
      <numFmt numFmtId="172" formatCode="#,##0.0"/>
    </dxf>
    <dxf>
      <numFmt numFmtId="164" formatCode="0.0E+00"/>
    </dxf>
    <dxf>
      <numFmt numFmtId="4" formatCode="#,##0.00"/>
    </dxf>
    <dxf>
      <numFmt numFmtId="172" formatCode="#,##0.0"/>
    </dxf>
    <dxf>
      <numFmt numFmtId="3" formatCode="#,##0"/>
    </dxf>
    <dxf>
      <numFmt numFmtId="164" formatCode="0.0E+00"/>
    </dxf>
    <dxf>
      <numFmt numFmtId="164" formatCode="0.0E+00"/>
    </dxf>
    <dxf>
      <fill>
        <patternFill>
          <bgColor theme="0"/>
        </patternFill>
      </fill>
    </dxf>
    <dxf>
      <font>
        <color theme="0"/>
      </font>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72" formatCode="#,##0.0"/>
    </dxf>
    <dxf>
      <numFmt numFmtId="164" formatCode="0.0E+00"/>
    </dxf>
    <dxf>
      <fill>
        <patternFill>
          <bgColor theme="0"/>
        </patternFill>
      </fill>
    </dxf>
    <dxf>
      <fill>
        <patternFill>
          <bgColor rgb="FFC00000"/>
        </patternFill>
      </fill>
    </dxf>
    <dxf>
      <numFmt numFmtId="3" formatCode="#,##0"/>
    </dxf>
    <dxf>
      <fill>
        <patternFill>
          <bgColor rgb="FFC00000"/>
        </patternFill>
      </fill>
    </dxf>
    <dxf>
      <numFmt numFmtId="0" formatCode="General"/>
      <fill>
        <patternFill>
          <bgColor rgb="FF00B050"/>
        </patternFill>
      </fill>
    </dxf>
    <dxf>
      <numFmt numFmtId="0" formatCode="General"/>
      <fill>
        <patternFill>
          <bgColor rgb="FF00B050"/>
        </patternFill>
      </fill>
    </dxf>
    <dxf>
      <fill>
        <patternFill>
          <bgColor rgb="FFC00000"/>
        </patternFill>
      </fill>
    </dxf>
    <dxf>
      <fill>
        <patternFill>
          <bgColor rgb="FFC00000"/>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numFmt numFmtId="0" formatCode="General"/>
      <fill>
        <patternFill>
          <bgColor rgb="FF00B050"/>
        </patternFill>
      </fill>
    </dxf>
    <dxf>
      <fill>
        <patternFill>
          <bgColor rgb="FFC00000"/>
        </patternFill>
      </fill>
    </dxf>
    <dxf>
      <numFmt numFmtId="164" formatCode="0.0E+00"/>
    </dxf>
    <dxf>
      <numFmt numFmtId="164" formatCode="0.0E+00"/>
    </dxf>
    <dxf>
      <numFmt numFmtId="3" formatCode="#,##0"/>
    </dxf>
    <dxf>
      <numFmt numFmtId="172" formatCode="#,##0.0"/>
    </dxf>
    <dxf>
      <numFmt numFmtId="4" formatCode="#,##0.00"/>
    </dxf>
    <dxf>
      <fill>
        <patternFill>
          <bgColor theme="0"/>
        </patternFill>
      </fill>
    </dxf>
    <dxf>
      <fill>
        <patternFill>
          <bgColor rgb="FFC00000"/>
        </patternFill>
      </fill>
    </dxf>
    <dxf>
      <numFmt numFmtId="0" formatCode="General"/>
      <fill>
        <patternFill>
          <bgColor rgb="FF00B050"/>
        </patternFill>
      </fill>
    </dxf>
    <dxf>
      <numFmt numFmtId="172" formatCode="#,##0.0"/>
    </dxf>
    <dxf>
      <numFmt numFmtId="164" formatCode="0.0E+00"/>
    </dxf>
    <dxf>
      <numFmt numFmtId="167" formatCode="0.0"/>
    </dxf>
    <dxf>
      <numFmt numFmtId="15" formatCode="0.00E+00"/>
    </dxf>
    <dxf>
      <font>
        <color theme="0"/>
      </font>
    </dxf>
    <dxf>
      <fill>
        <patternFill>
          <bgColor theme="0"/>
        </patternFill>
      </fill>
    </dxf>
    <dxf>
      <numFmt numFmtId="164" formatCode="0.0E+00"/>
    </dxf>
    <dxf>
      <numFmt numFmtId="4" formatCode="#,##0.00"/>
    </dxf>
    <dxf>
      <numFmt numFmtId="172" formatCode="#,##0.0"/>
    </dxf>
    <dxf>
      <numFmt numFmtId="164" formatCode="0.0E+00"/>
    </dxf>
    <dxf>
      <numFmt numFmtId="2" formatCode="0.00"/>
    </dxf>
    <dxf>
      <numFmt numFmtId="3" formatCode="#,##0"/>
    </dxf>
    <dxf>
      <font>
        <color theme="0"/>
      </font>
    </dxf>
    <dxf>
      <numFmt numFmtId="164" formatCode="0.0E+00"/>
    </dxf>
    <dxf>
      <numFmt numFmtId="3" formatCode="#,##0"/>
    </dxf>
    <dxf>
      <numFmt numFmtId="4" formatCode="#,##0.00"/>
    </dxf>
    <dxf>
      <numFmt numFmtId="172" formatCode="#,##0.0"/>
    </dxf>
    <dxf>
      <numFmt numFmtId="164" formatCode="0.0E+00"/>
    </dxf>
    <dxf>
      <fill>
        <patternFill>
          <bgColor theme="0"/>
        </patternFill>
      </fill>
    </dxf>
    <dxf>
      <font>
        <color rgb="FFFF0000"/>
      </font>
      <fill>
        <patternFill>
          <bgColor rgb="FFFCAAAA"/>
        </patternFill>
      </fill>
    </dxf>
    <dxf>
      <numFmt numFmtId="164" formatCode="0.0E+00"/>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3" formatCode="#,##0"/>
    </dxf>
    <dxf>
      <numFmt numFmtId="164" formatCode="0.0E+00"/>
    </dxf>
    <dxf>
      <fill>
        <patternFill>
          <bgColor rgb="FFC00000"/>
        </patternFill>
      </fill>
    </dxf>
    <dxf>
      <fill>
        <patternFill>
          <bgColor theme="0"/>
        </patternFill>
      </fill>
    </dxf>
    <dxf>
      <numFmt numFmtId="172" formatCode="#,##0.0"/>
    </dxf>
    <dxf>
      <numFmt numFmtId="3" formatCode="#,##0"/>
    </dxf>
    <dxf>
      <numFmt numFmtId="164" formatCode="0.0E+00"/>
    </dxf>
    <dxf>
      <numFmt numFmtId="4" formatCode="#,##0.00"/>
    </dxf>
    <dxf>
      <fill>
        <patternFill>
          <bgColor rgb="FFC00000"/>
        </patternFill>
      </fill>
    </dxf>
    <dxf>
      <fill>
        <patternFill>
          <bgColor theme="0"/>
        </patternFill>
      </fill>
    </dxf>
    <dxf>
      <fill>
        <patternFill>
          <bgColor rgb="FF00B050"/>
        </patternFill>
      </fill>
    </dxf>
    <dxf>
      <fill>
        <patternFill>
          <bgColor rgb="FFC00000"/>
        </patternFill>
      </fill>
    </dxf>
    <dxf>
      <fill>
        <patternFill>
          <bgColor rgb="FF00B050"/>
        </patternFill>
      </fill>
    </dxf>
    <dxf>
      <fill>
        <patternFill>
          <bgColor rgb="FFC00000"/>
        </patternFill>
      </fill>
    </dxf>
    <dxf>
      <numFmt numFmtId="3" formatCode="#,##0"/>
    </dxf>
    <dxf>
      <numFmt numFmtId="172" formatCode="#,##0.0"/>
    </dxf>
    <dxf>
      <numFmt numFmtId="4" formatCode="#,##0.00"/>
    </dxf>
    <dxf>
      <numFmt numFmtId="164" formatCode="0.0E+00"/>
    </dxf>
    <dxf>
      <fill>
        <patternFill>
          <bgColor theme="0"/>
        </patternFill>
      </fill>
    </dxf>
    <dxf>
      <numFmt numFmtId="164" formatCode="0.0E+00"/>
    </dxf>
    <dxf>
      <fill>
        <patternFill>
          <bgColor rgb="FF00B050"/>
        </patternFill>
      </fill>
    </dxf>
    <dxf>
      <fill>
        <patternFill>
          <bgColor rgb="FFC00000"/>
        </patternFill>
      </fill>
    </dxf>
    <dxf>
      <numFmt numFmtId="167" formatCode="0.0"/>
    </dxf>
    <dxf>
      <numFmt numFmtId="15" formatCode="0.00E+00"/>
    </dxf>
    <dxf>
      <font>
        <color theme="0"/>
      </font>
    </dxf>
    <dxf>
      <fill>
        <patternFill>
          <bgColor theme="0"/>
        </patternFill>
      </fill>
    </dxf>
    <dxf>
      <numFmt numFmtId="164" formatCode="0.0E+00"/>
    </dxf>
    <dxf>
      <numFmt numFmtId="4" formatCode="#,##0.00"/>
    </dxf>
    <dxf>
      <numFmt numFmtId="172" formatCode="#,##0.0"/>
    </dxf>
    <dxf>
      <numFmt numFmtId="3" formatCode="#,##0"/>
    </dxf>
    <dxf>
      <numFmt numFmtId="164" formatCode="0.0E+00"/>
    </dxf>
    <dxf>
      <numFmt numFmtId="164" formatCode="0.0E+00"/>
    </dxf>
    <dxf>
      <numFmt numFmtId="172" formatCode="#,##0.0"/>
    </dxf>
    <dxf>
      <numFmt numFmtId="2" formatCode="0.00"/>
    </dxf>
    <dxf>
      <numFmt numFmtId="3" formatCode="#,##0"/>
    </dxf>
    <dxf>
      <numFmt numFmtId="164" formatCode="0.0E+00"/>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172" formatCode="#,##0.0"/>
    </dxf>
    <dxf>
      <numFmt numFmtId="164" formatCode="0.0E+00"/>
    </dxf>
    <dxf>
      <fill>
        <patternFill>
          <bgColor theme="0"/>
        </patternFill>
      </fill>
    </dxf>
    <dxf>
      <fill>
        <patternFill>
          <bgColor rgb="FFC00000"/>
        </patternFill>
      </fill>
    </dxf>
    <dxf>
      <numFmt numFmtId="3" formatCode="#,##0"/>
    </dxf>
    <dxf>
      <numFmt numFmtId="0" formatCode="General"/>
      <fill>
        <patternFill>
          <bgColor rgb="FF00B050"/>
        </patternFill>
      </fill>
    </dxf>
    <dxf>
      <fill>
        <patternFill>
          <bgColor rgb="FFC00000"/>
        </patternFill>
      </fill>
    </dxf>
    <dxf>
      <numFmt numFmtId="0" formatCode="General"/>
      <fill>
        <patternFill>
          <bgColor rgb="FF00B050"/>
        </patternFill>
      </fill>
    </dxf>
    <dxf>
      <fill>
        <patternFill>
          <bgColor rgb="FFC00000"/>
        </patternFill>
      </fill>
    </dxf>
    <dxf>
      <fill>
        <patternFill>
          <bgColor rgb="FFC00000"/>
        </patternFill>
      </fill>
    </dxf>
    <dxf>
      <numFmt numFmtId="0" formatCode="General"/>
      <fill>
        <patternFill>
          <bgColor rgb="FF00B050"/>
        </patternFill>
      </fill>
    </dxf>
    <dxf>
      <fill>
        <patternFill>
          <bgColor rgb="FFC00000"/>
        </patternFill>
      </fill>
    </dxf>
    <dxf>
      <numFmt numFmtId="0" formatCode="General"/>
      <fill>
        <patternFill>
          <bgColor rgb="FF00B050"/>
        </patternFill>
      </fill>
    </dxf>
    <dxf>
      <numFmt numFmtId="164" formatCode="0.0E+00"/>
    </dxf>
    <dxf>
      <numFmt numFmtId="4" formatCode="#,##0.00"/>
    </dxf>
    <dxf>
      <numFmt numFmtId="172" formatCode="#,##0.0"/>
    </dxf>
    <dxf>
      <fill>
        <patternFill>
          <bgColor theme="0"/>
        </patternFill>
      </fill>
    </dxf>
    <dxf>
      <numFmt numFmtId="164" formatCode="0.0E+00"/>
    </dxf>
    <dxf>
      <numFmt numFmtId="3" formatCode="#,##0"/>
    </dxf>
    <dxf>
      <numFmt numFmtId="0" formatCode="General"/>
      <fill>
        <patternFill>
          <bgColor rgb="FF00B050"/>
        </patternFill>
      </fill>
    </dxf>
    <dxf>
      <fill>
        <patternFill>
          <bgColor rgb="FFC00000"/>
        </patternFill>
      </fill>
    </dxf>
    <dxf>
      <font>
        <color theme="0"/>
      </font>
    </dxf>
    <dxf>
      <numFmt numFmtId="164" formatCode="0.0E+00"/>
    </dxf>
    <dxf>
      <numFmt numFmtId="164" formatCode="0.0E+00"/>
    </dxf>
    <dxf>
      <fill>
        <patternFill>
          <bgColor theme="0"/>
        </patternFill>
      </fill>
    </dxf>
    <dxf>
      <numFmt numFmtId="3" formatCode="#,##0"/>
    </dxf>
    <dxf>
      <numFmt numFmtId="172" formatCode="#,##0.0"/>
    </dxf>
    <dxf>
      <numFmt numFmtId="164" formatCode="0.0E+00"/>
    </dxf>
    <dxf>
      <numFmt numFmtId="15" formatCode="0.00E+00"/>
    </dxf>
    <dxf>
      <numFmt numFmtId="2" formatCode="0.00"/>
    </dxf>
    <dxf>
      <numFmt numFmtId="167" formatCode="0.0"/>
    </dxf>
    <dxf>
      <numFmt numFmtId="172" formatCode="#,##0.0"/>
    </dxf>
    <dxf>
      <numFmt numFmtId="4" formatCode="#,##0.00"/>
    </dxf>
    <dxf>
      <fill>
        <patternFill>
          <bgColor theme="0"/>
        </patternFill>
      </fill>
    </dxf>
    <dxf>
      <font>
        <color theme="0"/>
      </font>
    </dxf>
    <dxf>
      <numFmt numFmtId="164" formatCode="0.0E+00"/>
    </dxf>
    <dxf>
      <numFmt numFmtId="3" formatCode="#,##0"/>
    </dxf>
    <dxf>
      <numFmt numFmtId="172" formatCode="#,##0.0"/>
    </dxf>
    <dxf>
      <numFmt numFmtId="4" formatCode="#,##0.00"/>
    </dxf>
    <dxf>
      <numFmt numFmtId="164" formatCode="0.0E+00"/>
    </dxf>
    <dxf>
      <font>
        <color rgb="FFFF0000"/>
      </font>
      <fill>
        <patternFill>
          <bgColor rgb="FFFCAAAA"/>
        </patternFill>
      </fill>
    </dxf>
    <dxf>
      <numFmt numFmtId="3" formatCode="#,##0"/>
    </dxf>
    <dxf>
      <numFmt numFmtId="164" formatCode="0.0E+00"/>
    </dxf>
    <dxf>
      <font>
        <color rgb="FFFF0000"/>
      </font>
      <fill>
        <patternFill>
          <bgColor rgb="FFFFBDBD"/>
        </patternFill>
      </fill>
    </dxf>
    <dxf>
      <fill>
        <patternFill>
          <bgColor theme="0"/>
        </patternFill>
      </fill>
    </dxf>
    <dxf>
      <numFmt numFmtId="164" formatCode="0.0E+00"/>
    </dxf>
    <dxf>
      <numFmt numFmtId="4" formatCode="#,##0.00"/>
    </dxf>
    <dxf>
      <numFmt numFmtId="172" formatCode="#,##0.0"/>
    </dxf>
    <dxf>
      <numFmt numFmtId="164" formatCode="0.0E+00"/>
    </dxf>
    <dxf>
      <fill>
        <patternFill>
          <bgColor theme="0"/>
        </patternFill>
      </fill>
    </dxf>
    <dxf>
      <fill>
        <patternFill>
          <bgColor rgb="FFC00000"/>
        </patternFill>
      </fill>
    </dxf>
    <dxf>
      <numFmt numFmtId="172" formatCode="#,##0.0"/>
    </dxf>
    <dxf>
      <numFmt numFmtId="164" formatCode="0.0E+00"/>
    </dxf>
    <dxf>
      <numFmt numFmtId="3" formatCode="#,##0"/>
    </dxf>
    <dxf>
      <numFmt numFmtId="4" formatCode="#,##0.00"/>
    </dxf>
    <dxf>
      <fill>
        <patternFill>
          <bgColor rgb="FFC00000"/>
        </patternFill>
      </fill>
    </dxf>
    <dxf>
      <fill>
        <patternFill>
          <bgColor theme="0"/>
        </patternFill>
      </fill>
    </dxf>
    <dxf>
      <fill>
        <patternFill>
          <bgColor rgb="FF00B050"/>
        </patternFill>
      </fill>
    </dxf>
    <dxf>
      <fill>
        <patternFill>
          <bgColor rgb="FFC00000"/>
        </patternFill>
      </fill>
    </dxf>
    <dxf>
      <fill>
        <patternFill>
          <bgColor rgb="FFC00000"/>
        </patternFill>
      </fill>
    </dxf>
    <dxf>
      <fill>
        <patternFill>
          <bgColor rgb="FF00B050"/>
        </patternFill>
      </fill>
    </dxf>
    <dxf>
      <numFmt numFmtId="4" formatCode="#,##0.00"/>
    </dxf>
    <dxf>
      <numFmt numFmtId="164" formatCode="0.0E+00"/>
    </dxf>
    <dxf>
      <fill>
        <patternFill>
          <bgColor theme="0"/>
        </patternFill>
      </fill>
    </dxf>
    <dxf>
      <numFmt numFmtId="164" formatCode="0.0E+00"/>
    </dxf>
    <dxf>
      <numFmt numFmtId="172" formatCode="#,##0.0"/>
    </dxf>
    <dxf>
      <numFmt numFmtId="3" formatCode="#,##0"/>
    </dxf>
    <dxf>
      <fill>
        <patternFill>
          <bgColor rgb="FFC00000"/>
        </patternFill>
      </fill>
    </dxf>
    <dxf>
      <fill>
        <patternFill>
          <bgColor rgb="FF00B050"/>
        </patternFill>
      </fill>
    </dxf>
    <dxf>
      <numFmt numFmtId="164" formatCode="0.0E+00"/>
    </dxf>
    <dxf>
      <numFmt numFmtId="4" formatCode="#,##0.00"/>
    </dxf>
    <dxf>
      <numFmt numFmtId="172" formatCode="#,##0.0"/>
    </dxf>
    <dxf>
      <numFmt numFmtId="3" formatCode="#,##0"/>
    </dxf>
    <dxf>
      <numFmt numFmtId="164" formatCode="0.0E+00"/>
    </dxf>
    <dxf>
      <numFmt numFmtId="164" formatCode="0.0E+00"/>
    </dxf>
    <dxf>
      <numFmt numFmtId="172" formatCode="#,##0.0"/>
    </dxf>
    <dxf>
      <numFmt numFmtId="167" formatCode="0.0"/>
    </dxf>
    <dxf>
      <numFmt numFmtId="2" formatCode="0.00"/>
    </dxf>
    <dxf>
      <numFmt numFmtId="15" formatCode="0.00E+00"/>
    </dxf>
    <dxf>
      <font>
        <color theme="0"/>
      </font>
    </dxf>
    <dxf>
      <fill>
        <patternFill>
          <bgColor theme="0"/>
        </patternFill>
      </fill>
    </dxf>
  </dxfs>
  <tableStyles count="0" defaultTableStyle="TableStyleMedium2" defaultPivotStyle="PivotStyleLight16"/>
  <colors>
    <mruColors>
      <color rgb="FFFCAAAA"/>
      <color rgb="FFFFBDBD"/>
      <color rgb="FFFDBB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2962275</xdr:colOff>
      <xdr:row>4</xdr:row>
      <xdr:rowOff>28575</xdr:rowOff>
    </xdr:from>
    <xdr:to>
      <xdr:col>0</xdr:col>
      <xdr:colOff>4587875</xdr:colOff>
      <xdr:row>8</xdr:row>
      <xdr:rowOff>95250</xdr:rowOff>
    </xdr:to>
    <xdr:pic>
      <xdr:nvPicPr>
        <xdr:cNvPr id="2" name="Picture 2">
          <a:extLst>
            <a:ext uri="{FF2B5EF4-FFF2-40B4-BE49-F238E27FC236}">
              <a16:creationId xmlns:a16="http://schemas.microsoft.com/office/drawing/2014/main" id="{D2A47995-CCA0-4DFF-AB13-33BD5F2A48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46" b="25731"/>
        <a:stretch/>
      </xdr:blipFill>
      <xdr:spPr bwMode="auto">
        <a:xfrm>
          <a:off x="2962275" y="1752600"/>
          <a:ext cx="1625600" cy="8286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942975</xdr:colOff>
      <xdr:row>15</xdr:row>
      <xdr:rowOff>1743075</xdr:rowOff>
    </xdr:from>
    <xdr:to>
      <xdr:col>1</xdr:col>
      <xdr:colOff>3495675</xdr:colOff>
      <xdr:row>15</xdr:row>
      <xdr:rowOff>2085975</xdr:rowOff>
    </xdr:to>
    <xdr:pic>
      <xdr:nvPicPr>
        <xdr:cNvPr id="2" name="Picture 1">
          <a:extLst>
            <a:ext uri="{FF2B5EF4-FFF2-40B4-BE49-F238E27FC236}">
              <a16:creationId xmlns:a16="http://schemas.microsoft.com/office/drawing/2014/main" id="{EFCBBE40-E77E-4BF4-A92D-65D482AA469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47950" y="12258675"/>
          <a:ext cx="25527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28</xdr:row>
      <xdr:rowOff>47625</xdr:rowOff>
    </xdr:from>
    <xdr:to>
      <xdr:col>0</xdr:col>
      <xdr:colOff>1838325</xdr:colOff>
      <xdr:row>30</xdr:row>
      <xdr:rowOff>130175</xdr:rowOff>
    </xdr:to>
    <xdr:pic>
      <xdr:nvPicPr>
        <xdr:cNvPr id="2" name="Picture 1">
          <a:extLst>
            <a:ext uri="{FF2B5EF4-FFF2-40B4-BE49-F238E27FC236}">
              <a16:creationId xmlns:a16="http://schemas.microsoft.com/office/drawing/2014/main" id="{AF2D45AD-D23A-448E-8008-1A1857AFCD7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575" y="6086475"/>
          <a:ext cx="1809750" cy="42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9.xml.rels><?xml version="1.0" encoding="UTF-8" standalone="yes"?>
<Relationships xmlns="http://schemas.openxmlformats.org/package/2006/relationships"><Relationship Id="rId1" Type="http://schemas.openxmlformats.org/officeDocument/2006/relationships/hyperlink" Target="https://www.regulations.gov/comment/EPA-HQ-OPPT-2016-0732-0013"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0855-2B13-486C-AE2F-A8732F662C98}">
  <dimension ref="A1:A11"/>
  <sheetViews>
    <sheetView showGridLines="0" tabSelected="1" workbookViewId="0">
      <selection activeCell="A2" sqref="A2"/>
    </sheetView>
  </sheetViews>
  <sheetFormatPr defaultRowHeight="15" x14ac:dyDescent="0.25"/>
  <cols>
    <col min="1" max="1" width="112.7109375" customWidth="1"/>
  </cols>
  <sheetData>
    <row r="1" spans="1:1" ht="20.25" x14ac:dyDescent="0.3">
      <c r="A1" s="516" t="s">
        <v>511</v>
      </c>
    </row>
    <row r="2" spans="1:1" x14ac:dyDescent="0.25">
      <c r="A2" s="513"/>
    </row>
    <row r="3" spans="1:1" ht="18.75" x14ac:dyDescent="0.25">
      <c r="A3" s="514" t="s">
        <v>455</v>
      </c>
    </row>
    <row r="4" spans="1:1" ht="15.75" x14ac:dyDescent="0.25">
      <c r="A4" s="515"/>
    </row>
    <row r="5" spans="1:1" x14ac:dyDescent="0.25">
      <c r="A5" s="513"/>
    </row>
    <row r="6" spans="1:1" x14ac:dyDescent="0.25">
      <c r="A6" s="513"/>
    </row>
    <row r="7" spans="1:1" x14ac:dyDescent="0.25">
      <c r="A7" s="513"/>
    </row>
    <row r="8" spans="1:1" x14ac:dyDescent="0.25">
      <c r="A8" s="513"/>
    </row>
    <row r="9" spans="1:1" x14ac:dyDescent="0.25">
      <c r="A9" s="513"/>
    </row>
    <row r="10" spans="1:1" x14ac:dyDescent="0.25">
      <c r="A10" s="513"/>
    </row>
    <row r="11" spans="1:1" ht="20.25" x14ac:dyDescent="0.3">
      <c r="A11" s="516"/>
    </row>
  </sheetData>
  <sheetProtection sheet="1" objects="1" scenarios="1" formatCells="0" formatColumns="0" formatRows="0"/>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9F19-2864-4E73-9EAD-1175A52F0130}">
  <sheetPr codeName="Sheet10"/>
  <dimension ref="B1:S69"/>
  <sheetViews>
    <sheetView workbookViewId="0">
      <selection activeCell="I21" sqref="I21"/>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8" width="15.85546875" style="66" customWidth="1"/>
    <col min="9" max="9" width="12.85546875" style="66" customWidth="1"/>
    <col min="10" max="10" width="12.42578125" style="66" customWidth="1"/>
    <col min="11" max="11" width="28.42578125" style="66" customWidth="1"/>
    <col min="12" max="15" width="14.85546875" style="66" customWidth="1"/>
    <col min="16" max="17" width="13.5703125" style="66" customWidth="1"/>
    <col min="18" max="16384" width="8.7109375" style="66"/>
  </cols>
  <sheetData>
    <row r="1" spans="2:19" ht="21" x14ac:dyDescent="0.35">
      <c r="C1" s="83" t="s">
        <v>1</v>
      </c>
    </row>
    <row r="2" spans="2:19" ht="21" x14ac:dyDescent="0.35">
      <c r="C2" s="83" t="s">
        <v>470</v>
      </c>
      <c r="J2" s="68"/>
      <c r="Q2" s="67"/>
    </row>
    <row r="3" spans="2:19" ht="15.75" x14ac:dyDescent="0.25">
      <c r="C3" s="67"/>
      <c r="J3" s="68"/>
      <c r="Q3" s="67"/>
    </row>
    <row r="4" spans="2:19" ht="21" x14ac:dyDescent="0.35">
      <c r="C4" s="84" t="s">
        <v>83</v>
      </c>
      <c r="D4" s="85"/>
      <c r="E4" s="85"/>
      <c r="F4" s="85"/>
      <c r="G4" s="85"/>
      <c r="H4" s="85"/>
      <c r="I4" s="85"/>
      <c r="K4" s="84" t="s">
        <v>29</v>
      </c>
      <c r="Q4" s="67"/>
    </row>
    <row r="5" spans="2:19" ht="21" x14ac:dyDescent="0.35">
      <c r="C5" s="85"/>
      <c r="D5" s="85"/>
      <c r="E5" s="85"/>
      <c r="F5" s="85"/>
      <c r="G5" s="85"/>
      <c r="H5" s="85"/>
      <c r="I5" s="85"/>
      <c r="K5" s="83"/>
      <c r="Q5" s="67"/>
    </row>
    <row r="6" spans="2:19" ht="21" x14ac:dyDescent="0.35">
      <c r="C6" s="83" t="s">
        <v>84</v>
      </c>
      <c r="D6" s="85"/>
      <c r="E6" s="85"/>
      <c r="F6" s="85"/>
      <c r="G6" s="85"/>
      <c r="H6" s="85"/>
      <c r="I6" s="85"/>
      <c r="K6" s="83" t="s">
        <v>84</v>
      </c>
      <c r="Q6" s="67"/>
    </row>
    <row r="7" spans="2:19" ht="15.75" x14ac:dyDescent="0.25">
      <c r="C7" s="67"/>
      <c r="J7" s="68"/>
      <c r="Q7" s="67"/>
    </row>
    <row r="8" spans="2:19" ht="38.25" x14ac:dyDescent="0.25">
      <c r="C8" s="592" t="s">
        <v>85</v>
      </c>
      <c r="D8" s="593" t="s">
        <v>23</v>
      </c>
      <c r="E8" s="411" t="s">
        <v>86</v>
      </c>
      <c r="F8" s="411" t="s">
        <v>87</v>
      </c>
      <c r="G8" s="411" t="s">
        <v>88</v>
      </c>
      <c r="H8" s="411" t="s">
        <v>89</v>
      </c>
      <c r="I8" s="411" t="s">
        <v>90</v>
      </c>
      <c r="J8" s="1"/>
      <c r="K8" s="592" t="s">
        <v>85</v>
      </c>
      <c r="L8" s="592" t="s">
        <v>23</v>
      </c>
      <c r="M8" s="411" t="s">
        <v>91</v>
      </c>
      <c r="N8" s="411" t="s">
        <v>92</v>
      </c>
      <c r="O8" s="411" t="s">
        <v>93</v>
      </c>
      <c r="P8" s="411" t="s">
        <v>94</v>
      </c>
      <c r="Q8" s="411" t="s">
        <v>95</v>
      </c>
      <c r="S8" s="67"/>
    </row>
    <row r="9" spans="2:19" ht="27" x14ac:dyDescent="0.25">
      <c r="C9" s="592"/>
      <c r="D9" s="593"/>
      <c r="E9" s="411" t="s">
        <v>150</v>
      </c>
      <c r="F9" s="411" t="s">
        <v>151</v>
      </c>
      <c r="G9" s="411" t="s">
        <v>152</v>
      </c>
      <c r="H9" s="411" t="s">
        <v>152</v>
      </c>
      <c r="I9" s="411" t="s">
        <v>153</v>
      </c>
      <c r="J9" s="1"/>
      <c r="K9" s="592"/>
      <c r="L9" s="592"/>
      <c r="M9" s="411" t="s">
        <v>100</v>
      </c>
      <c r="N9" s="411" t="s">
        <v>154</v>
      </c>
      <c r="O9" s="411" t="s">
        <v>503</v>
      </c>
      <c r="P9" s="411" t="s">
        <v>155</v>
      </c>
      <c r="Q9" s="411" t="s">
        <v>504</v>
      </c>
      <c r="S9" s="67"/>
    </row>
    <row r="10" spans="2:19" ht="15.75" x14ac:dyDescent="0.25">
      <c r="C10" s="88" t="s">
        <v>30</v>
      </c>
      <c r="D10" s="594" t="s">
        <v>103</v>
      </c>
      <c r="E10" s="316">
        <f>INDEX('Inhalation Exposures'!$I$7:$I$74, MATCH('1,1-DCA_test order_LGT'!$C$2, 'Inhalation Exposures'!$A$7:$A$74, 0))</f>
        <v>1.6000000000000001E-3</v>
      </c>
      <c r="F10" s="316">
        <f>INDEX('Inhalation Exposures'!K$7:$K$74, MATCH('1,1-DCA_test order_LGT'!$C$2, 'Inhalation Exposures'!$A$7:$A$74, 0))</f>
        <v>1.0884353741496598E-3</v>
      </c>
      <c r="G10" s="316">
        <f>INDEX('Inhalation Exposures'!$M7:$M74, MATCH('1,1-DCA_test order_LGT'!$C$2, 'Inhalation Exposures'!$A$7:$A$74, 0))</f>
        <v>7.9818594104308393E-4</v>
      </c>
      <c r="H10" s="316">
        <f>INDEX('Inhalation Exposures'!$O$7:$O$74, MATCH('1,1-DCA_test order_LGT'!$C$2, 'Inhalation Exposures'!$A$7:$A$74, 0))</f>
        <v>7.455036809244246E-4</v>
      </c>
      <c r="I10" s="316">
        <f>INDEX('Inhalation Exposures'!$Q$7:$Q$74, MATCH('1,1-DCA_test order_LGT'!$C$2, 'Inhalation Exposures'!$A$7:$A$74, 0))</f>
        <v>3.8230957996124337E-4</v>
      </c>
      <c r="J10" s="1"/>
      <c r="K10" s="595" t="s">
        <v>104</v>
      </c>
      <c r="L10" s="412" t="s">
        <v>103</v>
      </c>
      <c r="M10" s="316">
        <f>INDEX('Dermal Exposures'!$J$5:$J$34, MATCH('1,1-DCA_test order_LGT'!$C$2, 'Dermal Exposures'!$A$5:$A$34, 0))</f>
        <v>1.9616309999999998E-2</v>
      </c>
      <c r="N10" s="316">
        <f>INDEX('Dermal Exposures'!$K$5:$K$34, MATCH('1,1-DCA_test order_LGT'!$C$2, 'Dermal Exposures'!$A$5:$A$34, 0))</f>
        <v>2.4520387499999996E-4</v>
      </c>
      <c r="O10" s="316">
        <f>INDEX('Dermal Exposures'!$L$5:$L$34, MATCH('1,1-DCA_test order_LGT'!$C$2, 'Dermal Exposures'!$A$5:$A$34, 0))</f>
        <v>1.7981617499999997E-4</v>
      </c>
      <c r="P10" s="316">
        <f>INDEX('Dermal Exposures'!$M$5:$M$34, MATCH('1,1-DCA_test order_LGT'!$C$2, 'Dermal Exposures'!$A$5:$A$34, 0))</f>
        <v>1.6794785958904108E-4</v>
      </c>
      <c r="Q10" s="316">
        <f>INDEX('Dermal Exposures'!$N$5:$N$34, MATCH('1,1-DCA_test order_LGT'!$C$2, 'Dermal Exposures'!$A$5:$A$34, 0))</f>
        <v>8.6127107481559525E-5</v>
      </c>
      <c r="S10" s="67"/>
    </row>
    <row r="11" spans="2:19" ht="15.75" x14ac:dyDescent="0.25">
      <c r="C11" s="88" t="s">
        <v>28</v>
      </c>
      <c r="D11" s="594"/>
      <c r="E11" s="316">
        <f>INDEX('Inhalation Exposures'!$I$20:$I$81, MATCH('1,1-DCA_test order_LGT'!$C$2, 'Inhalation Exposures'!$A$20:$A$81, 0))</f>
        <v>4.5661979166666672E-3</v>
      </c>
      <c r="F11" s="316">
        <f>INDEX('Inhalation Exposures'!$K$20:$K$81, MATCH('1,1-DCA_test order_LGT'!$C$2, 'Inhalation Exposures'!$A$20:$A$81, 0))</f>
        <v>3.106257086167801E-3</v>
      </c>
      <c r="G11" s="316">
        <f>INDEX('Inhalation Exposures'!$M$20:$M$81, MATCH('1,1-DCA_test order_LGT'!$C$2, 'Inhalation Exposures'!$A$20:$A$81, 0))</f>
        <v>2.2779218631897207E-3</v>
      </c>
      <c r="H11" s="316">
        <f>INDEX('Inhalation Exposures'!$O$20:$O$81, MATCH('1,1-DCA_test order_LGT'!$C$2, 'Inhalation Exposures'!$A$20:$A$81, 0))</f>
        <v>2.1275733466902744E-3</v>
      </c>
      <c r="I11" s="316">
        <f>INDEX('Inhalation Exposures'!$Q$20:$Q$81, MATCH('1,1-DCA_test order_LGT'!$C$2, 'Inhalation Exposures'!$A$20:$A$81, 0))</f>
        <v>1.0910632547129612E-3</v>
      </c>
      <c r="J11" s="1"/>
      <c r="K11" s="595"/>
      <c r="L11" s="412" t="s">
        <v>27</v>
      </c>
      <c r="M11" s="316">
        <f>INDEX('Dermal Exposures'!$O$5:$O$34, MATCH('1,1-DCA_test order_LGT'!$C$2, 'Dermal Exposures'!$A$5:$A$34, 0))</f>
        <v>6.5387699999999993E-3</v>
      </c>
      <c r="N11" s="316">
        <f>INDEX('Dermal Exposures'!$P$5:$P$34, MATCH('1,1-DCA_test order_LGT'!$C$2, 'Dermal Exposures'!$A$5:$A$34, 0))</f>
        <v>8.1734624999999997E-5</v>
      </c>
      <c r="O11" s="316">
        <f>INDEX('Dermal Exposures'!$Q$5:$Q$34, MATCH('1,1-DCA_test order_LGT'!$C$2, 'Dermal Exposures'!$A$5:$A$34, 0))</f>
        <v>5.9938724999999998E-5</v>
      </c>
      <c r="P11" s="316">
        <f>INDEX('Dermal Exposures'!$R$5:$R$34, MATCH('1,1-DCA_test order_LGT'!$C$2, 'Dermal Exposures'!$A$5:$A$34, 0))</f>
        <v>5.5982619863013688E-5</v>
      </c>
      <c r="Q11" s="316">
        <f>INDEX('Dermal Exposures'!$S$5:$S$34, MATCH('1,1-DCA_test order_LGT'!$C$2, 'Dermal Exposures'!$A$5:$A$34, 0))</f>
        <v>2.2249502766069543E-5</v>
      </c>
      <c r="S11" s="67"/>
    </row>
    <row r="12" spans="2:19" ht="15.75" x14ac:dyDescent="0.25">
      <c r="C12" s="88" t="s">
        <v>30</v>
      </c>
      <c r="D12" s="591" t="s">
        <v>27</v>
      </c>
      <c r="E12" s="316">
        <f>INDEX('Inhalation Exposures'!$J$7:$J$74, MATCH('1,1-DCA_test order_LGT'!$C$2, 'Inhalation Exposures'!$A$7:$A$74, 0))</f>
        <v>6.7000000000000002E-5</v>
      </c>
      <c r="F12" s="316">
        <f>INDEX('Inhalation Exposures'!L$7:$L$74, MATCH('1,1-DCA_test order_LGT'!$C$2, 'Inhalation Exposures'!$A$7:$A$74, 0))</f>
        <v>4.5578231292517009E-5</v>
      </c>
      <c r="G12" s="316">
        <f>INDEX('Inhalation Exposures'!$N$7:$N$74, MATCH('1,1-DCA_test order_LGT'!$C$2, 'Inhalation Exposures'!$A$7:$A$74, 0))</f>
        <v>3.3424036281179142E-5</v>
      </c>
      <c r="H12" s="316">
        <f>INDEX('Inhalation Exposures'!$P$7:$P$74, MATCH('1,1-DCA_test order_LGT'!$C$2, 'Inhalation Exposures'!$A$7:$A$74, 0))</f>
        <v>3.1217966638710281E-5</v>
      </c>
      <c r="I12" s="316">
        <f>INDEX('Inhalation Exposures'!$R$7:$R$74, MATCH('1,1-DCA_test order_LGT'!$C$2, 'Inhalation Exposures'!$A$7:$A$74, 0))</f>
        <v>1.2407140587179725E-5</v>
      </c>
      <c r="J12" s="1"/>
      <c r="K12" s="68"/>
      <c r="R12" s="67"/>
    </row>
    <row r="13" spans="2:19" ht="15.75" x14ac:dyDescent="0.25">
      <c r="C13" s="88" t="s">
        <v>28</v>
      </c>
      <c r="D13" s="591"/>
      <c r="E13" s="316">
        <f>INDEX('Inhalation Exposures'!$J$20:$J$81, MATCH('1,1-DCA_test order_LGT'!$C$2, 'Inhalation Exposures'!$A$20:$A$81, 0))</f>
        <v>6.9401041666666667E-5</v>
      </c>
      <c r="F13" s="316">
        <f>INDEX('Inhalation Exposures'!$L$20:$L$81, MATCH('1,1-DCA_test order_LGT'!$C$2, 'Inhalation Exposures'!$A$20:$A$81, 0))</f>
        <v>4.721159297052154E-5</v>
      </c>
      <c r="G13" s="316">
        <f>INDEX('Inhalation Exposures'!$N$20:$N$81, MATCH('1,1-DCA_test order_LGT'!$C$2, 'Inhalation Exposures'!$A$20:$A$81, 0))</f>
        <v>3.4621834845049136E-5</v>
      </c>
      <c r="H13" s="316">
        <f>INDEX('Inhalation Exposures'!$P$20:$P$81, MATCH('1,1-DCA_test order_LGT'!$C$2, 'Inhalation Exposures'!$A$20:$A$81, 0))</f>
        <v>3.233670751405585E-5</v>
      </c>
      <c r="I13" s="316">
        <f>INDEX('Inhalation Exposures'!$R$20:$R$81, MATCH('1,1-DCA_test order_LGT'!$C$2, 'Inhalation Exposures'!$A$20:$A$81, 0))</f>
        <v>1.2851768370970914E-5</v>
      </c>
      <c r="J13" s="1"/>
      <c r="K13" s="68"/>
      <c r="R13" s="67"/>
    </row>
    <row r="15" spans="2:19" ht="21" x14ac:dyDescent="0.35">
      <c r="C15" s="83" t="s">
        <v>105</v>
      </c>
      <c r="K15" s="83" t="s">
        <v>113</v>
      </c>
    </row>
    <row r="16" spans="2:19" ht="28.5" customHeight="1" x14ac:dyDescent="0.2">
      <c r="B16" s="70"/>
      <c r="C16" s="568" t="s">
        <v>106</v>
      </c>
      <c r="D16" s="568" t="s">
        <v>107</v>
      </c>
      <c r="E16" s="568" t="s">
        <v>23</v>
      </c>
      <c r="F16" s="568" t="s">
        <v>108</v>
      </c>
      <c r="G16" s="568" t="s">
        <v>109</v>
      </c>
      <c r="H16" s="568"/>
      <c r="I16" s="90"/>
      <c r="K16" s="570" t="s">
        <v>106</v>
      </c>
      <c r="L16" s="570" t="s">
        <v>114</v>
      </c>
      <c r="M16" s="570" t="s">
        <v>23</v>
      </c>
      <c r="N16" s="570" t="s">
        <v>108</v>
      </c>
      <c r="O16" s="411" t="s">
        <v>109</v>
      </c>
    </row>
    <row r="17" spans="2:15" ht="26.1" customHeight="1" x14ac:dyDescent="0.2">
      <c r="B17" s="70"/>
      <c r="C17" s="568"/>
      <c r="D17" s="568"/>
      <c r="E17" s="568"/>
      <c r="F17" s="568"/>
      <c r="G17" s="413" t="s">
        <v>110</v>
      </c>
      <c r="H17" s="413" t="s">
        <v>111</v>
      </c>
      <c r="I17" s="90"/>
      <c r="K17" s="571"/>
      <c r="L17" s="571"/>
      <c r="M17" s="571"/>
      <c r="N17" s="571"/>
      <c r="O17" s="422" t="s">
        <v>116</v>
      </c>
    </row>
    <row r="18" spans="2:15" ht="27.6" customHeight="1" x14ac:dyDescent="0.2">
      <c r="B18" s="70"/>
      <c r="C18" s="587" t="s">
        <v>112</v>
      </c>
      <c r="D18" s="580">
        <f>INDEX('Health Data'!$G:$G,MATCH($C$2,'Health Data'!$B:$B,0))</f>
        <v>2.4163399353274051</v>
      </c>
      <c r="E18" s="71" t="s">
        <v>103</v>
      </c>
      <c r="F18" s="412">
        <v>30</v>
      </c>
      <c r="G18" s="102">
        <f>D18/$F$10</f>
        <v>2220.0123155820534</v>
      </c>
      <c r="H18" s="102">
        <f>D18/$F$11</f>
        <v>777.89438166190268</v>
      </c>
      <c r="I18" s="77"/>
      <c r="K18" s="587" t="s">
        <v>118</v>
      </c>
      <c r="L18" s="589">
        <f>INDEX('Health Data'!$K:$K,MATCH($C$2,'Health Data'!$B:$B,0))</f>
        <v>19.899999999999999</v>
      </c>
      <c r="M18" s="72" t="s">
        <v>103</v>
      </c>
      <c r="N18" s="412">
        <v>30</v>
      </c>
      <c r="O18" s="101">
        <f>L18/N10</f>
        <v>81156.955614995895</v>
      </c>
    </row>
    <row r="19" spans="2:15" ht="25.5" customHeight="1" x14ac:dyDescent="0.2">
      <c r="B19" s="70"/>
      <c r="C19" s="588"/>
      <c r="D19" s="555"/>
      <c r="E19" s="71" t="s">
        <v>27</v>
      </c>
      <c r="F19" s="412">
        <v>30</v>
      </c>
      <c r="G19" s="101">
        <f>D18/$F$12</f>
        <v>53015.219476586346</v>
      </c>
      <c r="H19" s="102">
        <f>D18/$F$13</f>
        <v>51181.071920961112</v>
      </c>
      <c r="I19" s="77"/>
      <c r="K19" s="588"/>
      <c r="L19" s="590"/>
      <c r="M19" s="72" t="s">
        <v>27</v>
      </c>
      <c r="N19" s="412">
        <v>30</v>
      </c>
      <c r="O19" s="101">
        <f>L18/N11</f>
        <v>243470.86684498767</v>
      </c>
    </row>
    <row r="20" spans="2:15" x14ac:dyDescent="0.2">
      <c r="B20" s="73"/>
      <c r="C20" s="74"/>
      <c r="D20" s="96"/>
      <c r="E20" s="76"/>
      <c r="F20" s="75"/>
      <c r="G20" s="77"/>
      <c r="H20" s="77"/>
      <c r="I20" s="77"/>
      <c r="K20" s="74"/>
      <c r="L20" s="75"/>
      <c r="M20" s="81"/>
      <c r="N20" s="75"/>
      <c r="O20" s="77"/>
    </row>
    <row r="21" spans="2:15" ht="25.5" customHeight="1" thickBot="1" x14ac:dyDescent="0.25">
      <c r="B21" s="73"/>
      <c r="C21" s="98" t="s">
        <v>115</v>
      </c>
      <c r="D21" s="96"/>
      <c r="E21" s="76"/>
      <c r="F21" s="75"/>
      <c r="G21" s="77"/>
      <c r="H21" s="77"/>
      <c r="I21" s="77"/>
      <c r="K21" s="97" t="s">
        <v>120</v>
      </c>
      <c r="L21" s="75"/>
      <c r="M21" s="81"/>
      <c r="N21" s="75"/>
      <c r="O21" s="77"/>
    </row>
    <row r="22" spans="2:15" ht="25.5" customHeight="1" x14ac:dyDescent="0.2">
      <c r="B22" s="73"/>
      <c r="C22" s="568" t="s">
        <v>106</v>
      </c>
      <c r="D22" s="568" t="s">
        <v>107</v>
      </c>
      <c r="E22" s="569" t="s">
        <v>23</v>
      </c>
      <c r="F22" s="568" t="s">
        <v>108</v>
      </c>
      <c r="G22" s="568" t="s">
        <v>117</v>
      </c>
      <c r="H22" s="568"/>
      <c r="I22" s="77"/>
      <c r="K22" s="568" t="s">
        <v>106</v>
      </c>
      <c r="L22" s="568" t="s">
        <v>121</v>
      </c>
      <c r="M22" s="569" t="s">
        <v>23</v>
      </c>
      <c r="N22" s="568" t="s">
        <v>108</v>
      </c>
      <c r="O22" s="413" t="s">
        <v>117</v>
      </c>
    </row>
    <row r="23" spans="2:15" ht="25.5" customHeight="1" x14ac:dyDescent="0.2">
      <c r="B23" s="73"/>
      <c r="C23" s="582"/>
      <c r="D23" s="582"/>
      <c r="E23" s="586"/>
      <c r="F23" s="582"/>
      <c r="G23" s="415" t="s">
        <v>110</v>
      </c>
      <c r="H23" s="415" t="s">
        <v>111</v>
      </c>
      <c r="I23" s="77"/>
      <c r="K23" s="568"/>
      <c r="L23" s="568"/>
      <c r="M23" s="569"/>
      <c r="N23" s="568"/>
      <c r="O23" s="413" t="s">
        <v>116</v>
      </c>
    </row>
    <row r="24" spans="2:15" ht="25.5" customHeight="1" x14ac:dyDescent="0.2">
      <c r="B24" s="73"/>
      <c r="C24" s="577" t="s">
        <v>149</v>
      </c>
      <c r="D24" s="598">
        <v>22</v>
      </c>
      <c r="E24" s="71" t="s">
        <v>103</v>
      </c>
      <c r="F24" s="412">
        <v>30</v>
      </c>
      <c r="G24" s="419">
        <f>D24/$G$10</f>
        <v>27562.5</v>
      </c>
      <c r="H24" s="419">
        <f>D24/$G$11</f>
        <v>9657.925653865017</v>
      </c>
      <c r="I24" s="77"/>
      <c r="K24" s="579" t="s">
        <v>124</v>
      </c>
      <c r="L24" s="580">
        <f>INDEX('Health Data'!$T:$T,MATCH($C$2,'Health Data'!$B:$B,0))</f>
        <v>6.5</v>
      </c>
      <c r="M24" s="72" t="s">
        <v>103</v>
      </c>
      <c r="N24" s="412">
        <v>30</v>
      </c>
      <c r="O24" s="107">
        <f>L24/$O$10</f>
        <v>36148.02728397488</v>
      </c>
    </row>
    <row r="25" spans="2:15" ht="25.5" customHeight="1" x14ac:dyDescent="0.2">
      <c r="B25" s="73"/>
      <c r="C25" s="577"/>
      <c r="D25" s="598"/>
      <c r="E25" s="71" t="s">
        <v>27</v>
      </c>
      <c r="F25" s="412">
        <v>30</v>
      </c>
      <c r="G25" s="419">
        <f>D24/$G$12</f>
        <v>658208.95522388048</v>
      </c>
      <c r="H25" s="419">
        <f>D24/$G$13</f>
        <v>635437.14821763593</v>
      </c>
      <c r="I25" s="77"/>
      <c r="K25" s="579"/>
      <c r="L25" s="555"/>
      <c r="M25" s="72" t="s">
        <v>27</v>
      </c>
      <c r="N25" s="412">
        <v>30</v>
      </c>
      <c r="O25" s="107">
        <f>L24/$O$11</f>
        <v>108444.08185192461</v>
      </c>
    </row>
    <row r="26" spans="2:15" x14ac:dyDescent="0.2">
      <c r="B26" s="73"/>
      <c r="C26" s="74"/>
      <c r="D26" s="96"/>
      <c r="E26" s="76"/>
      <c r="F26" s="75"/>
      <c r="G26" s="77"/>
      <c r="H26" s="77"/>
      <c r="I26" s="77"/>
      <c r="K26" s="74"/>
      <c r="L26" s="75"/>
      <c r="M26" s="81"/>
      <c r="N26" s="75"/>
      <c r="O26" s="77"/>
    </row>
    <row r="27" spans="2:15" s="85" customFormat="1" ht="21" x14ac:dyDescent="0.35">
      <c r="B27" s="83"/>
      <c r="C27" s="83" t="s">
        <v>122</v>
      </c>
      <c r="F27" s="86"/>
      <c r="K27" s="83" t="s">
        <v>125</v>
      </c>
    </row>
    <row r="28" spans="2:15" ht="26.1" customHeight="1" x14ac:dyDescent="0.2">
      <c r="B28" s="79"/>
      <c r="C28" s="568" t="s">
        <v>106</v>
      </c>
      <c r="D28" s="568" t="s">
        <v>107</v>
      </c>
      <c r="E28" s="568" t="s">
        <v>23</v>
      </c>
      <c r="F28" s="568" t="s">
        <v>108</v>
      </c>
      <c r="G28" s="568" t="s">
        <v>123</v>
      </c>
      <c r="H28" s="568"/>
      <c r="I28" s="90"/>
      <c r="K28" s="566" t="s">
        <v>106</v>
      </c>
      <c r="L28" s="566" t="s">
        <v>121</v>
      </c>
      <c r="M28" s="566" t="s">
        <v>23</v>
      </c>
      <c r="N28" s="566" t="s">
        <v>108</v>
      </c>
      <c r="O28" s="411" t="s">
        <v>123</v>
      </c>
    </row>
    <row r="29" spans="2:15" ht="25.5" x14ac:dyDescent="0.2">
      <c r="B29" s="79"/>
      <c r="C29" s="568"/>
      <c r="D29" s="568"/>
      <c r="E29" s="568"/>
      <c r="F29" s="568"/>
      <c r="G29" s="413" t="s">
        <v>110</v>
      </c>
      <c r="H29" s="413" t="s">
        <v>111</v>
      </c>
      <c r="I29" s="90"/>
      <c r="K29" s="581"/>
      <c r="L29" s="567"/>
      <c r="M29" s="567"/>
      <c r="N29" s="567"/>
      <c r="O29" s="411" t="s">
        <v>116</v>
      </c>
    </row>
    <row r="30" spans="2:15" ht="33" customHeight="1" x14ac:dyDescent="0.2">
      <c r="B30" s="79"/>
      <c r="C30" s="577" t="s">
        <v>149</v>
      </c>
      <c r="D30" s="578">
        <f>INDEX('Health Data'!$P:$P,MATCH($C$2,'Health Data'!$B:$B,0))</f>
        <v>5.2378738884397729</v>
      </c>
      <c r="E30" s="72" t="s">
        <v>103</v>
      </c>
      <c r="F30" s="412">
        <v>300</v>
      </c>
      <c r="G30" s="419">
        <f>D30/$H$10</f>
        <v>7025.9530871058996</v>
      </c>
      <c r="H30" s="419">
        <f>D30/$H$11</f>
        <v>2461.9005011451136</v>
      </c>
      <c r="I30" s="77"/>
      <c r="K30" s="579" t="s">
        <v>124</v>
      </c>
      <c r="L30" s="580">
        <f>INDEX('Health Data'!$T:$T,MATCH($C$2,'Health Data'!$B:$B,0))</f>
        <v>6.5</v>
      </c>
      <c r="M30" s="72" t="s">
        <v>103</v>
      </c>
      <c r="N30" s="412">
        <v>300</v>
      </c>
      <c r="O30" s="107">
        <f>L30/$P$10</f>
        <v>38702.4878787091</v>
      </c>
    </row>
    <row r="31" spans="2:15" ht="33" customHeight="1" x14ac:dyDescent="0.2">
      <c r="B31" s="79"/>
      <c r="C31" s="577"/>
      <c r="D31" s="559"/>
      <c r="E31" s="72" t="s">
        <v>27</v>
      </c>
      <c r="F31" s="412">
        <v>300</v>
      </c>
      <c r="G31" s="419">
        <f>D30/$H$12</f>
        <v>167783.95431894687</v>
      </c>
      <c r="H31" s="419">
        <f>D30/$H$13</f>
        <v>161979.19612449777</v>
      </c>
      <c r="I31" s="77"/>
      <c r="K31" s="579"/>
      <c r="L31" s="555"/>
      <c r="M31" s="72" t="s">
        <v>27</v>
      </c>
      <c r="N31" s="412">
        <v>300</v>
      </c>
      <c r="O31" s="107">
        <f>L30/$P$11</f>
        <v>116107.4636361273</v>
      </c>
    </row>
    <row r="32" spans="2:15" x14ac:dyDescent="0.2">
      <c r="B32" s="79"/>
      <c r="C32" s="80"/>
      <c r="D32" s="75"/>
      <c r="E32" s="81"/>
      <c r="F32" s="75"/>
      <c r="G32" s="77"/>
      <c r="H32" s="77"/>
      <c r="I32" s="77"/>
    </row>
    <row r="33" spans="2:15" ht="33" customHeight="1" x14ac:dyDescent="0.35">
      <c r="B33" s="79"/>
      <c r="C33" s="83" t="s">
        <v>126</v>
      </c>
      <c r="D33" s="85"/>
      <c r="E33" s="85"/>
      <c r="F33" s="85"/>
      <c r="G33" s="85"/>
      <c r="H33" s="85"/>
      <c r="I33" s="77"/>
      <c r="K33" s="83" t="s">
        <v>126</v>
      </c>
      <c r="L33" s="85"/>
      <c r="M33" s="85"/>
      <c r="N33" s="85"/>
      <c r="O33" s="85"/>
    </row>
    <row r="34" spans="2:15" ht="33" customHeight="1" x14ac:dyDescent="0.2">
      <c r="B34" s="79"/>
      <c r="C34" s="582" t="s">
        <v>127</v>
      </c>
      <c r="D34" s="566" t="s">
        <v>128</v>
      </c>
      <c r="E34" s="566" t="s">
        <v>23</v>
      </c>
      <c r="F34" s="583" t="s">
        <v>129</v>
      </c>
      <c r="G34" s="568" t="s">
        <v>130</v>
      </c>
      <c r="H34" s="568"/>
      <c r="I34" s="77"/>
      <c r="K34" s="566" t="s">
        <v>127</v>
      </c>
      <c r="L34" s="566" t="s">
        <v>133</v>
      </c>
      <c r="M34" s="566" t="s">
        <v>23</v>
      </c>
      <c r="N34" s="566" t="s">
        <v>129</v>
      </c>
      <c r="O34" s="411" t="s">
        <v>130</v>
      </c>
    </row>
    <row r="35" spans="2:15" ht="33" customHeight="1" x14ac:dyDescent="0.2">
      <c r="B35" s="79"/>
      <c r="C35" s="530"/>
      <c r="D35" s="567"/>
      <c r="E35" s="567"/>
      <c r="F35" s="584"/>
      <c r="G35" s="413" t="s">
        <v>131</v>
      </c>
      <c r="H35" s="413" t="s">
        <v>28</v>
      </c>
      <c r="I35" s="77"/>
      <c r="K35" s="567"/>
      <c r="L35" s="567"/>
      <c r="M35" s="567"/>
      <c r="N35" s="567"/>
      <c r="O35" s="411" t="s">
        <v>135</v>
      </c>
    </row>
    <row r="36" spans="2:15" ht="33" customHeight="1" x14ac:dyDescent="0.2">
      <c r="B36" s="79"/>
      <c r="C36" s="572" t="s">
        <v>132</v>
      </c>
      <c r="D36" s="574">
        <f>INDEX('Health Data'!$Y:$Y,MATCH($C$2,'Health Data'!$B:$B,0))</f>
        <v>2.8736850715746418E-2</v>
      </c>
      <c r="E36" s="71" t="s">
        <v>103</v>
      </c>
      <c r="F36" s="107">
        <v>1E-4</v>
      </c>
      <c r="G36" s="103">
        <f>I10*D36</f>
        <v>1.0986373326545968E-5</v>
      </c>
      <c r="H36" s="104">
        <f>I11*D36</f>
        <v>3.1353721872122776E-5</v>
      </c>
      <c r="I36" s="77"/>
      <c r="K36" s="572" t="s">
        <v>156</v>
      </c>
      <c r="L36" s="574" t="str">
        <f>INDEX('Health Data'!$AB:$AB,MATCH($C$2,'Health Data'!$B:$B,0))</f>
        <v>Not Quantified</v>
      </c>
      <c r="M36" s="71" t="s">
        <v>103</v>
      </c>
      <c r="N36" s="597"/>
      <c r="O36" s="107"/>
    </row>
    <row r="37" spans="2:15" ht="33" customHeight="1" x14ac:dyDescent="0.2">
      <c r="B37" s="79"/>
      <c r="C37" s="573"/>
      <c r="D37" s="575"/>
      <c r="E37" s="71" t="s">
        <v>27</v>
      </c>
      <c r="F37" s="107">
        <v>1E-4</v>
      </c>
      <c r="G37" s="105">
        <f>I12*D36</f>
        <v>3.5654214686306214E-7</v>
      </c>
      <c r="H37" s="104">
        <f>I13*D36</f>
        <v>3.693193491099427E-7</v>
      </c>
      <c r="I37" s="77"/>
      <c r="K37" s="576"/>
      <c r="L37" s="575"/>
      <c r="M37" s="71" t="s">
        <v>27</v>
      </c>
      <c r="N37" s="596"/>
      <c r="O37" s="107"/>
    </row>
    <row r="38" spans="2:15" ht="33" customHeight="1" x14ac:dyDescent="0.2">
      <c r="B38" s="79"/>
      <c r="I38" s="77"/>
      <c r="J38" s="77"/>
      <c r="K38" s="77"/>
    </row>
    <row r="39" spans="2:15" ht="33" customHeight="1" x14ac:dyDescent="0.35">
      <c r="B39" s="79"/>
      <c r="C39" s="83" t="s">
        <v>134</v>
      </c>
      <c r="I39" s="77"/>
      <c r="J39" s="77"/>
      <c r="K39" s="77"/>
    </row>
    <row r="40" spans="2:15" ht="33" customHeight="1" thickBot="1" x14ac:dyDescent="0.4">
      <c r="B40" s="79"/>
      <c r="C40" s="83"/>
      <c r="I40" s="77"/>
      <c r="J40" s="77"/>
      <c r="K40" s="77"/>
    </row>
    <row r="41" spans="2:15" ht="33" customHeight="1" x14ac:dyDescent="0.25">
      <c r="B41" s="79"/>
      <c r="C41" s="325" t="s">
        <v>136</v>
      </c>
      <c r="I41" s="77"/>
      <c r="J41" s="77"/>
      <c r="K41" s="77"/>
    </row>
    <row r="42" spans="2:15" ht="33" customHeight="1" thickBot="1" x14ac:dyDescent="0.3">
      <c r="B42" s="79"/>
      <c r="C42" s="326" t="s">
        <v>30</v>
      </c>
      <c r="I42" s="77"/>
      <c r="J42" s="77"/>
      <c r="K42" s="77"/>
    </row>
    <row r="43" spans="2:15" ht="33" customHeight="1" x14ac:dyDescent="0.3">
      <c r="B43" s="79"/>
      <c r="C43" s="317"/>
      <c r="I43" s="77"/>
      <c r="J43" s="77"/>
      <c r="K43" s="77"/>
    </row>
    <row r="44" spans="2:15" ht="33" customHeight="1" thickBot="1" x14ac:dyDescent="0.25">
      <c r="B44" s="79"/>
      <c r="I44" s="77"/>
      <c r="J44" s="77"/>
      <c r="K44" s="77"/>
      <c r="N44" s="68" t="s">
        <v>157</v>
      </c>
    </row>
    <row r="45" spans="2:15" ht="33" customHeight="1" x14ac:dyDescent="0.2">
      <c r="B45" s="548" t="s">
        <v>138</v>
      </c>
      <c r="C45" s="540" t="s">
        <v>107</v>
      </c>
      <c r="D45" s="540" t="s">
        <v>23</v>
      </c>
      <c r="E45" s="540" t="s">
        <v>108</v>
      </c>
      <c r="F45" s="540" t="str">
        <f>_xlfn.CONCAT("Exposure Estimates: ",$C$42," MOE")</f>
        <v>Exposure Estimates: Worker MOE</v>
      </c>
      <c r="G45" s="540"/>
      <c r="H45" s="540"/>
      <c r="I45" s="540"/>
      <c r="J45" s="540"/>
      <c r="K45" s="542"/>
    </row>
    <row r="46" spans="2:15" ht="33" customHeight="1" thickBot="1" x14ac:dyDescent="0.25">
      <c r="B46" s="549"/>
      <c r="C46" s="541"/>
      <c r="D46" s="541"/>
      <c r="E46" s="541"/>
      <c r="F46" s="416" t="s">
        <v>139</v>
      </c>
      <c r="G46" s="416" t="s">
        <v>34</v>
      </c>
      <c r="H46" s="416" t="s">
        <v>35</v>
      </c>
      <c r="I46" s="416" t="s">
        <v>32</v>
      </c>
      <c r="J46" s="416" t="s">
        <v>140</v>
      </c>
      <c r="K46" s="290" t="s">
        <v>31</v>
      </c>
    </row>
    <row r="47" spans="2:15" ht="33" customHeight="1" x14ac:dyDescent="0.2">
      <c r="B47" s="550" t="s">
        <v>143</v>
      </c>
      <c r="C47" s="555">
        <f>INDEX('Health Data'!$G:$G,MATCH($C$2,'Health Data'!$B:$B,0))</f>
        <v>2.4163399353274051</v>
      </c>
      <c r="D47" s="292" t="s">
        <v>103</v>
      </c>
      <c r="E47" s="421">
        <v>30</v>
      </c>
      <c r="F47" s="304">
        <f>IFERROR($C47/IF($C$42="Worker",$F$10,$F$11), "")</f>
        <v>2220.0123155820534</v>
      </c>
      <c r="G47" s="305">
        <f>IFERROR($F47*'List Values'!$B$9, "")</f>
        <v>22200.123155820533</v>
      </c>
      <c r="H47" s="305">
        <f>IFERROR($F47*'List Values'!$B$10, "")</f>
        <v>55500.307889551332</v>
      </c>
      <c r="I47" s="305">
        <f>IFERROR($F47*'List Values'!$B$11, "")</f>
        <v>111000.61577910266</v>
      </c>
      <c r="J47" s="305">
        <f>IFERROR($F47*'List Values'!$B$12, "")</f>
        <v>2220012.3155820533</v>
      </c>
      <c r="K47" s="306">
        <f>IFERROR($F47*'List Values'!$B$13, "")</f>
        <v>22200123.155820534</v>
      </c>
    </row>
    <row r="48" spans="2:15" ht="33" customHeight="1" thickBot="1" x14ac:dyDescent="0.25">
      <c r="B48" s="551"/>
      <c r="C48" s="556"/>
      <c r="D48" s="293" t="s">
        <v>27</v>
      </c>
      <c r="E48" s="418">
        <v>30</v>
      </c>
      <c r="F48" s="303">
        <f>IFERROR($C47/IF($C$42="Worker",$F$12,$F$13), "")</f>
        <v>53015.219476586346</v>
      </c>
      <c r="G48" s="303">
        <f>IFERROR($F48*'List Values'!$B$9, "")</f>
        <v>530152.19476586347</v>
      </c>
      <c r="H48" s="303">
        <f>IFERROR($F48*'List Values'!$B$10, "")</f>
        <v>1325380.4869146587</v>
      </c>
      <c r="I48" s="303">
        <f>IFERROR($F48*'List Values'!$B$11, "")</f>
        <v>2650760.9738293174</v>
      </c>
      <c r="J48" s="303">
        <f>IFERROR($F48*'List Values'!$B$12, "")</f>
        <v>53015219.476586349</v>
      </c>
      <c r="K48" s="307">
        <f>IFERROR($F48*'List Values'!$B$13, "")</f>
        <v>530152194.76586348</v>
      </c>
    </row>
    <row r="49" spans="2:15" ht="33" customHeight="1" x14ac:dyDescent="0.2">
      <c r="B49" s="552" t="s">
        <v>144</v>
      </c>
      <c r="C49" s="557">
        <v>22</v>
      </c>
      <c r="D49" s="299" t="s">
        <v>103</v>
      </c>
      <c r="E49" s="417">
        <v>30</v>
      </c>
      <c r="F49" s="300">
        <f>IFERROR($C49/IF($C$42="Worker",$G$10,$G$11), "")</f>
        <v>27562.5</v>
      </c>
      <c r="G49" s="301">
        <f>IFERROR($F49*'List Values'!$B$9, "")</f>
        <v>275625</v>
      </c>
      <c r="H49" s="301">
        <f>IFERROR($F49*'List Values'!$B$10, "")</f>
        <v>689062.5</v>
      </c>
      <c r="I49" s="301">
        <f>IFERROR($F49*'List Values'!$B$11, "")</f>
        <v>1378125</v>
      </c>
      <c r="J49" s="301">
        <f>IFERROR($F49*'List Values'!$B$12, "")</f>
        <v>27562500</v>
      </c>
      <c r="K49" s="302">
        <f>IFERROR($F49*'List Values'!$B$13, "")</f>
        <v>275625000</v>
      </c>
    </row>
    <row r="50" spans="2:15" ht="33" customHeight="1" thickBot="1" x14ac:dyDescent="0.25">
      <c r="B50" s="551"/>
      <c r="C50" s="558"/>
      <c r="D50" s="293" t="s">
        <v>27</v>
      </c>
      <c r="E50" s="418">
        <v>30</v>
      </c>
      <c r="F50" s="303">
        <f>IFERROR($C49/IF($C$42="Worker",$G$12,$G$13), "")</f>
        <v>658208.95522388048</v>
      </c>
      <c r="G50" s="303">
        <f>IFERROR($F50*'List Values'!$B$9, "")</f>
        <v>6582089.5522388052</v>
      </c>
      <c r="H50" s="303">
        <f>IFERROR($F50*'List Values'!$B$10, "")</f>
        <v>16455223.880597012</v>
      </c>
      <c r="I50" s="303">
        <f>IFERROR($F50*'List Values'!$B$11, "")</f>
        <v>32910447.761194024</v>
      </c>
      <c r="J50" s="303">
        <f>IFERROR($F50*'List Values'!$B$12, "")</f>
        <v>658208955.22388053</v>
      </c>
      <c r="K50" s="307">
        <f>IFERROR($F50*'List Values'!$B$13, "")</f>
        <v>6582089552.2388048</v>
      </c>
    </row>
    <row r="51" spans="2:15" ht="33" customHeight="1" x14ac:dyDescent="0.2">
      <c r="B51" s="553" t="s">
        <v>145</v>
      </c>
      <c r="C51" s="559">
        <f>INDEX('Health Data'!$P:$P,MATCH($C$2,'Health Data'!$B:$B,0))</f>
        <v>5.2378738884397729</v>
      </c>
      <c r="D51" s="292" t="s">
        <v>103</v>
      </c>
      <c r="E51" s="421">
        <v>300</v>
      </c>
      <c r="F51" s="304">
        <f>IFERROR($C51/IF($C$42="Worker",$H$10,$H$11), "")</f>
        <v>7025.9530871058996</v>
      </c>
      <c r="G51" s="305">
        <f>IFERROR($F51*'List Values'!$B$9, "")</f>
        <v>70259.530871058989</v>
      </c>
      <c r="H51" s="305">
        <f>IFERROR($F51*'List Values'!$B$10, "")</f>
        <v>175648.8271776475</v>
      </c>
      <c r="I51" s="305">
        <f>IFERROR($F51*'List Values'!$B$11, "")</f>
        <v>351297.654355295</v>
      </c>
      <c r="J51" s="305">
        <f>IFERROR($F51*'List Values'!$B$12, "")</f>
        <v>7025953.0871059</v>
      </c>
      <c r="K51" s="306">
        <f>IFERROR($F51*'List Values'!$B$13, "")</f>
        <v>70259530.871059</v>
      </c>
    </row>
    <row r="52" spans="2:15" ht="33" customHeight="1" thickBot="1" x14ac:dyDescent="0.25">
      <c r="B52" s="554"/>
      <c r="C52" s="560"/>
      <c r="D52" s="293" t="s">
        <v>27</v>
      </c>
      <c r="E52" s="418">
        <v>300</v>
      </c>
      <c r="F52" s="303">
        <f>IFERROR($C51/IF($C$42="Worker",$H$12,$H$13), "")</f>
        <v>167783.95431894687</v>
      </c>
      <c r="G52" s="303">
        <f>IFERROR($F52*'List Values'!$B$9, "")</f>
        <v>1677839.5431894688</v>
      </c>
      <c r="H52" s="303">
        <f>IFERROR($F52*'List Values'!$B$10, "")</f>
        <v>4194598.8579736715</v>
      </c>
      <c r="I52" s="303">
        <f>IFERROR($F52*'List Values'!$B$11, "")</f>
        <v>8389197.715947343</v>
      </c>
      <c r="J52" s="303">
        <f>IFERROR($F52*'List Values'!$B$12, "")</f>
        <v>167783954.31894687</v>
      </c>
      <c r="K52" s="307">
        <f>IFERROR($F52*'List Values'!$B$13, "")</f>
        <v>1677839543.1894686</v>
      </c>
    </row>
    <row r="53" spans="2:15" ht="33" customHeight="1" x14ac:dyDescent="0.2">
      <c r="B53" s="294"/>
      <c r="C53" s="547" t="s">
        <v>146</v>
      </c>
      <c r="D53" s="530" t="s">
        <v>23</v>
      </c>
      <c r="E53" s="530" t="s">
        <v>108</v>
      </c>
      <c r="F53" s="530" t="str">
        <f>_xlfn.CONCAT("Exposure Estimates: ",$C$42," MOE")</f>
        <v>Exposure Estimates: Worker MOE</v>
      </c>
      <c r="G53" s="530"/>
      <c r="H53" s="530"/>
      <c r="I53" s="530"/>
      <c r="J53" s="530"/>
      <c r="K53" s="531"/>
    </row>
    <row r="54" spans="2:15" ht="33" customHeight="1" thickBot="1" x14ac:dyDescent="0.25">
      <c r="B54" s="294"/>
      <c r="C54" s="533"/>
      <c r="D54" s="541"/>
      <c r="E54" s="541"/>
      <c r="F54" s="415" t="s">
        <v>139</v>
      </c>
      <c r="G54" s="415" t="s">
        <v>34</v>
      </c>
      <c r="H54" s="415" t="s">
        <v>35</v>
      </c>
      <c r="I54" s="415" t="s">
        <v>32</v>
      </c>
      <c r="J54" s="415" t="s">
        <v>140</v>
      </c>
      <c r="K54" s="343" t="s">
        <v>31</v>
      </c>
    </row>
    <row r="55" spans="2:15" ht="33" customHeight="1" x14ac:dyDescent="0.2">
      <c r="B55" s="545" t="s">
        <v>148</v>
      </c>
      <c r="C55" s="543">
        <f>INDEX('Health Data'!$Y:$Y,MATCH($C$2,'Health Data'!$B:$B,0))</f>
        <v>2.8736850715746418E-2</v>
      </c>
      <c r="D55" s="299" t="s">
        <v>103</v>
      </c>
      <c r="E55" s="107">
        <v>1E-4</v>
      </c>
      <c r="F55" s="344">
        <f>IFERROR($C55*IF($C$42="Worker",$I$10,$I$11), "")</f>
        <v>1.0986373326545968E-5</v>
      </c>
      <c r="G55" s="345">
        <f>IFERROR($F55/'List Values'!$B$9, "")</f>
        <v>1.0986373326545969E-6</v>
      </c>
      <c r="H55" s="345">
        <f>IFERROR($F55/'List Values'!$B$10, "")</f>
        <v>4.3945493306183873E-7</v>
      </c>
      <c r="I55" s="345">
        <f>IFERROR($F55/'List Values'!$B$11, "")</f>
        <v>2.1972746653091937E-7</v>
      </c>
      <c r="J55" s="345">
        <f>IFERROR($F55/'List Values'!$B$12, "")</f>
        <v>1.0986373326545968E-8</v>
      </c>
      <c r="K55" s="346">
        <f>IFERROR($F55/'List Values'!$B$13, "")</f>
        <v>1.0986373326545969E-9</v>
      </c>
    </row>
    <row r="56" spans="2:15" ht="33" customHeight="1" thickBot="1" x14ac:dyDescent="0.25">
      <c r="B56" s="546"/>
      <c r="C56" s="544"/>
      <c r="D56" s="293" t="s">
        <v>27</v>
      </c>
      <c r="E56" s="107">
        <v>1E-4</v>
      </c>
      <c r="F56" s="337">
        <f>IFERROR($C55*IF($C$42="Worker",$I$12,$I$13), "")</f>
        <v>3.5654214686306214E-7</v>
      </c>
      <c r="G56" s="338">
        <f>IFERROR($F56/'List Values'!$B$9, "")</f>
        <v>3.5654214686306214E-8</v>
      </c>
      <c r="H56" s="338">
        <f>IFERROR($F56/'List Values'!$B$10, "")</f>
        <v>1.4261685874522486E-8</v>
      </c>
      <c r="I56" s="338">
        <f>IFERROR($F56/'List Values'!$B$11, "")</f>
        <v>7.1308429372612431E-9</v>
      </c>
      <c r="J56" s="338">
        <f>IFERROR($F56/'List Values'!$B$12, "")</f>
        <v>3.5654214686306213E-10</v>
      </c>
      <c r="K56" s="339">
        <f>IFERROR($F56/'List Values'!$B$13, "")</f>
        <v>3.5654214686306213E-11</v>
      </c>
    </row>
    <row r="57" spans="2:15" ht="33" customHeight="1" x14ac:dyDescent="0.2">
      <c r="B57" s="79"/>
      <c r="I57" s="77"/>
    </row>
    <row r="58" spans="2:15" ht="33" customHeight="1" x14ac:dyDescent="0.2">
      <c r="B58" s="79"/>
      <c r="I58" s="77"/>
    </row>
    <row r="59" spans="2:15" ht="33" customHeight="1" x14ac:dyDescent="0.2">
      <c r="B59" s="79"/>
      <c r="I59" s="77"/>
    </row>
    <row r="60" spans="2:15" ht="33" customHeight="1" x14ac:dyDescent="0.2">
      <c r="B60" s="79"/>
      <c r="I60" s="77"/>
    </row>
    <row r="61" spans="2:15" s="85" customFormat="1" ht="21" x14ac:dyDescent="0.35">
      <c r="C61" s="66"/>
      <c r="D61" s="66"/>
      <c r="E61" s="66"/>
      <c r="F61" s="66"/>
      <c r="G61" s="66"/>
      <c r="H61" s="66"/>
      <c r="K61" s="66"/>
      <c r="L61" s="66"/>
      <c r="M61" s="66"/>
      <c r="N61" s="66"/>
      <c r="O61" s="66"/>
    </row>
    <row r="62" spans="2:15" ht="25.5" customHeight="1" x14ac:dyDescent="0.2">
      <c r="B62" s="82"/>
      <c r="I62" s="90"/>
    </row>
    <row r="63" spans="2:15" ht="14.45" customHeight="1" x14ac:dyDescent="0.2">
      <c r="B63" s="82"/>
      <c r="I63" s="90"/>
    </row>
    <row r="64" spans="2:15" x14ac:dyDescent="0.2">
      <c r="B64" s="82"/>
      <c r="I64" s="89"/>
    </row>
    <row r="65" spans="2:9" x14ac:dyDescent="0.2">
      <c r="B65" s="82"/>
      <c r="I65" s="89"/>
    </row>
    <row r="69" spans="2:9" ht="29.1" customHeight="1" x14ac:dyDescent="0.2"/>
  </sheetData>
  <sheetProtection sheet="1" objects="1" scenarios="1" formatCells="0" formatColumns="0" formatRows="0"/>
  <mergeCells count="77">
    <mergeCell ref="C8:C9"/>
    <mergeCell ref="D8:D9"/>
    <mergeCell ref="K8:K9"/>
    <mergeCell ref="L8:L9"/>
    <mergeCell ref="D10:D11"/>
    <mergeCell ref="K10:K11"/>
    <mergeCell ref="D12:D13"/>
    <mergeCell ref="C16:C17"/>
    <mergeCell ref="D16:D17"/>
    <mergeCell ref="E16:E17"/>
    <mergeCell ref="F16:F17"/>
    <mergeCell ref="K16:K17"/>
    <mergeCell ref="L16:L17"/>
    <mergeCell ref="M16:M17"/>
    <mergeCell ref="N16:N17"/>
    <mergeCell ref="C18:C19"/>
    <mergeCell ref="D18:D19"/>
    <mergeCell ref="K18:K19"/>
    <mergeCell ref="L18:L19"/>
    <mergeCell ref="G16:H16"/>
    <mergeCell ref="L22:L23"/>
    <mergeCell ref="M22:M23"/>
    <mergeCell ref="N22:N23"/>
    <mergeCell ref="C24:C25"/>
    <mergeCell ref="D24:D25"/>
    <mergeCell ref="K24:K25"/>
    <mergeCell ref="L24:L25"/>
    <mergeCell ref="C22:C23"/>
    <mergeCell ref="D22:D23"/>
    <mergeCell ref="E22:E23"/>
    <mergeCell ref="F22:F23"/>
    <mergeCell ref="G22:H22"/>
    <mergeCell ref="K22:K23"/>
    <mergeCell ref="L28:L29"/>
    <mergeCell ref="M28:M29"/>
    <mergeCell ref="N28:N29"/>
    <mergeCell ref="C30:C31"/>
    <mergeCell ref="D30:D31"/>
    <mergeCell ref="K30:K31"/>
    <mergeCell ref="L30:L31"/>
    <mergeCell ref="C28:C29"/>
    <mergeCell ref="D28:D29"/>
    <mergeCell ref="E28:E29"/>
    <mergeCell ref="F28:F29"/>
    <mergeCell ref="G28:H28"/>
    <mergeCell ref="K28:K29"/>
    <mergeCell ref="L34:L35"/>
    <mergeCell ref="M34:M35"/>
    <mergeCell ref="N34:N35"/>
    <mergeCell ref="C36:C37"/>
    <mergeCell ref="D36:D37"/>
    <mergeCell ref="K36:K37"/>
    <mergeCell ref="L36:L37"/>
    <mergeCell ref="N36:N37"/>
    <mergeCell ref="C34:C35"/>
    <mergeCell ref="D34:D35"/>
    <mergeCell ref="E34:E35"/>
    <mergeCell ref="F34:F35"/>
    <mergeCell ref="G34:H34"/>
    <mergeCell ref="K34:K35"/>
    <mergeCell ref="B45:B46"/>
    <mergeCell ref="C45:C46"/>
    <mergeCell ref="D45:D46"/>
    <mergeCell ref="E45:E46"/>
    <mergeCell ref="F45:K45"/>
    <mergeCell ref="B47:B48"/>
    <mergeCell ref="C47:C48"/>
    <mergeCell ref="B49:B50"/>
    <mergeCell ref="C49:C50"/>
    <mergeCell ref="B51:B52"/>
    <mergeCell ref="C51:C52"/>
    <mergeCell ref="C53:C54"/>
    <mergeCell ref="D53:D54"/>
    <mergeCell ref="E53:E54"/>
    <mergeCell ref="F53:K53"/>
    <mergeCell ref="B55:B56"/>
    <mergeCell ref="C55:C56"/>
  </mergeCells>
  <conditionalFormatting sqref="E10:I13">
    <cfRule type="cellIs" dxfId="1328" priority="19" operator="greaterThanOrEqual">
      <formula>10000</formula>
    </cfRule>
    <cfRule type="cellIs" dxfId="1327" priority="29" operator="greaterThan">
      <formula>10</formula>
    </cfRule>
    <cfRule type="cellIs" dxfId="1326" priority="30" operator="greaterThan">
      <formula>10000</formula>
    </cfRule>
    <cfRule type="cellIs" dxfId="1325" priority="20" operator="greaterThanOrEqual">
      <formula>10</formula>
    </cfRule>
    <cfRule type="cellIs" dxfId="1324" priority="21" operator="between">
      <formula>1</formula>
      <formula>9.999</formula>
    </cfRule>
    <cfRule type="cellIs" dxfId="1323" priority="22" operator="between">
      <formula>0.1</formula>
      <formula>0.999</formula>
    </cfRule>
    <cfRule type="cellIs" dxfId="1322" priority="23" operator="lessThanOrEqual">
      <formula>0.1</formula>
    </cfRule>
    <cfRule type="containsBlanks" dxfId="1321" priority="24" stopIfTrue="1">
      <formula>LEN(TRIM(E10))=0</formula>
    </cfRule>
    <cfRule type="cellIs" dxfId="1320" priority="25" operator="equal">
      <formula>0</formula>
    </cfRule>
    <cfRule type="cellIs" dxfId="1319" priority="26" operator="lessThan">
      <formula>0.1</formula>
    </cfRule>
    <cfRule type="cellIs" dxfId="1318" priority="27" operator="between">
      <formula>0.1</formula>
      <formula>0.999</formula>
    </cfRule>
    <cfRule type="cellIs" dxfId="1317" priority="28" operator="between">
      <formula>1</formula>
      <formula>10</formula>
    </cfRule>
  </conditionalFormatting>
  <conditionalFormatting sqref="F47:K48">
    <cfRule type="cellIs" dxfId="1316" priority="63" operator="lessThan">
      <formula>$E$47</formula>
    </cfRule>
    <cfRule type="cellIs" dxfId="1315" priority="62" operator="greaterThanOrEqual">
      <formula>$E$47</formula>
    </cfRule>
  </conditionalFormatting>
  <conditionalFormatting sqref="F47:K52">
    <cfRule type="cellIs" dxfId="1314" priority="41" operator="greaterThanOrEqual">
      <formula>10</formula>
    </cfRule>
    <cfRule type="cellIs" dxfId="1313" priority="40" operator="greaterThanOrEqual">
      <formula>10000</formula>
    </cfRule>
    <cfRule type="containsBlanks" dxfId="1312" priority="45" stopIfTrue="1">
      <formula>LEN(TRIM(F47))=0</formula>
    </cfRule>
    <cfRule type="cellIs" dxfId="1311" priority="44" operator="lessThanOrEqual">
      <formula>0.1</formula>
    </cfRule>
    <cfRule type="cellIs" dxfId="1310" priority="43" operator="between">
      <formula>0.1</formula>
      <formula>0.999</formula>
    </cfRule>
    <cfRule type="cellIs" dxfId="1309" priority="42" operator="between">
      <formula>1</formula>
      <formula>9.999</formula>
    </cfRule>
  </conditionalFormatting>
  <conditionalFormatting sqref="F49:K50">
    <cfRule type="cellIs" dxfId="1308" priority="55" operator="lessThan">
      <formula>$E$49</formula>
    </cfRule>
    <cfRule type="cellIs" dxfId="1307" priority="54" operator="greaterThanOrEqual">
      <formula>$E$49</formula>
    </cfRule>
  </conditionalFormatting>
  <conditionalFormatting sqref="F51:K52">
    <cfRule type="cellIs" dxfId="1306" priority="47" operator="lessThan">
      <formula>$E$51</formula>
    </cfRule>
    <cfRule type="cellIs" dxfId="1305" priority="46" operator="greaterThanOrEqual">
      <formula>$E$51</formula>
    </cfRule>
  </conditionalFormatting>
  <conditionalFormatting sqref="F55:K55">
    <cfRule type="containsBlanks" dxfId="1304" priority="36" stopIfTrue="1">
      <formula>LEN(TRIM(F55))=0</formula>
    </cfRule>
    <cfRule type="cellIs" dxfId="1303" priority="37" operator="greaterThanOrEqual">
      <formula>0.0001</formula>
    </cfRule>
  </conditionalFormatting>
  <conditionalFormatting sqref="F55:K56">
    <cfRule type="cellIs" dxfId="1302" priority="2" operator="between">
      <formula>0.1</formula>
      <formula>0.999</formula>
    </cfRule>
    <cfRule type="cellIs" dxfId="1301" priority="1" operator="between">
      <formula>1</formula>
      <formula>9.999</formula>
    </cfRule>
    <cfRule type="cellIs" dxfId="1300" priority="31" operator="greaterThanOrEqual">
      <formula>10000</formula>
    </cfRule>
    <cfRule type="cellIs" dxfId="1299" priority="32" operator="greaterThanOrEqual">
      <formula>10</formula>
    </cfRule>
  </conditionalFormatting>
  <conditionalFormatting sqref="F56:K56">
    <cfRule type="containsBlanks" dxfId="1298" priority="3" stopIfTrue="1">
      <formula>LEN(TRIM(F56))=0</formula>
    </cfRule>
    <cfRule type="cellIs" dxfId="1297" priority="4" operator="greaterThanOrEqual">
      <formula>0.0001</formula>
    </cfRule>
    <cfRule type="cellIs" dxfId="1296" priority="35" operator="lessThanOrEqual">
      <formula>0.1</formula>
    </cfRule>
  </conditionalFormatting>
  <conditionalFormatting sqref="G18:H19 G24:H25 G30:H31">
    <cfRule type="cellIs" dxfId="1295" priority="81" operator="greaterThanOrEqual">
      <formula>10</formula>
    </cfRule>
    <cfRule type="cellIs" dxfId="1294" priority="80" operator="greaterThanOrEqual">
      <formula>10000</formula>
    </cfRule>
    <cfRule type="cellIs" dxfId="1293" priority="86" operator="lessThan">
      <formula>$F18</formula>
    </cfRule>
    <cfRule type="containsBlanks" dxfId="1292" priority="85" stopIfTrue="1">
      <formula>LEN(TRIM(G18))=0</formula>
    </cfRule>
    <cfRule type="cellIs" dxfId="1291" priority="84" operator="lessThanOrEqual">
      <formula>0.1</formula>
    </cfRule>
    <cfRule type="cellIs" dxfId="1290" priority="83" operator="between">
      <formula>0.1</formula>
      <formula>0.999</formula>
    </cfRule>
    <cfRule type="cellIs" dxfId="1289" priority="82" operator="between">
      <formula>1</formula>
      <formula>9.999</formula>
    </cfRule>
  </conditionalFormatting>
  <conditionalFormatting sqref="G36:H37 O36:O37">
    <cfRule type="cellIs" dxfId="1288" priority="71" operator="greaterThan">
      <formula>0.0001</formula>
    </cfRule>
  </conditionalFormatting>
  <conditionalFormatting sqref="G36:H37">
    <cfRule type="cellIs" dxfId="1287" priority="67" operator="between">
      <formula>0.1</formula>
      <formula>0.999</formula>
    </cfRule>
    <cfRule type="cellIs" dxfId="1286" priority="68" operator="lessThanOrEqual">
      <formula>0.1</formula>
    </cfRule>
    <cfRule type="cellIs" dxfId="1285" priority="70" operator="equal">
      <formula>0</formula>
    </cfRule>
    <cfRule type="containsBlanks" dxfId="1284" priority="69" stopIfTrue="1">
      <formula>LEN(TRIM(G36))=0</formula>
    </cfRule>
    <cfRule type="cellIs" dxfId="1283" priority="64" operator="greaterThanOrEqual">
      <formula>10000</formula>
    </cfRule>
    <cfRule type="cellIs" dxfId="1282" priority="65" operator="greaterThanOrEqual">
      <formula>10</formula>
    </cfRule>
    <cfRule type="cellIs" dxfId="1281" priority="66" operator="between">
      <formula>1</formula>
      <formula>9.999</formula>
    </cfRule>
  </conditionalFormatting>
  <conditionalFormatting sqref="M10:Q11">
    <cfRule type="cellIs" dxfId="1280" priority="7" operator="greaterThanOrEqual">
      <formula>10000</formula>
    </cfRule>
    <cfRule type="cellIs" dxfId="1279" priority="8" operator="greaterThanOrEqual">
      <formula>10</formula>
    </cfRule>
    <cfRule type="cellIs" dxfId="1278" priority="11" operator="lessThanOrEqual">
      <formula>0.1</formula>
    </cfRule>
    <cfRule type="cellIs" dxfId="1277" priority="18" operator="greaterThan">
      <formula>10000</formula>
    </cfRule>
    <cfRule type="cellIs" dxfId="1276" priority="10" operator="between">
      <formula>0.1</formula>
      <formula>0.999</formula>
    </cfRule>
    <cfRule type="cellIs" dxfId="1275" priority="9" operator="between">
      <formula>1</formula>
      <formula>9.999</formula>
    </cfRule>
    <cfRule type="containsBlanks" dxfId="1274" priority="12" stopIfTrue="1">
      <formula>LEN(TRIM(M10))=0</formula>
    </cfRule>
    <cfRule type="cellIs" dxfId="1273" priority="13" operator="equal">
      <formula>0</formula>
    </cfRule>
    <cfRule type="cellIs" dxfId="1272" priority="14" operator="lessThan">
      <formula>0.1</formula>
    </cfRule>
    <cfRule type="cellIs" dxfId="1271" priority="15" operator="between">
      <formula>0.1</formula>
      <formula>0.999</formula>
    </cfRule>
    <cfRule type="cellIs" dxfId="1270" priority="16" operator="between">
      <formula>1</formula>
      <formula>10</formula>
    </cfRule>
    <cfRule type="cellIs" dxfId="1269" priority="17" operator="greaterThan">
      <formula>10</formula>
    </cfRule>
  </conditionalFormatting>
  <conditionalFormatting sqref="O18:O19 O24:O25 O30:O31 O36:O37">
    <cfRule type="cellIs" dxfId="1268" priority="73" operator="greaterThanOrEqual">
      <formula>10000</formula>
    </cfRule>
    <cfRule type="cellIs" dxfId="1267" priority="74" operator="greaterThanOrEqual">
      <formula>10</formula>
    </cfRule>
    <cfRule type="cellIs" dxfId="1266" priority="75" operator="between">
      <formula>1</formula>
      <formula>9.999</formula>
    </cfRule>
    <cfRule type="cellIs" dxfId="1265" priority="76" operator="between">
      <formula>0.1</formula>
      <formula>0.999</formula>
    </cfRule>
    <cfRule type="cellIs" dxfId="1264" priority="77" operator="lessThanOrEqual">
      <formula>0.1</formula>
    </cfRule>
    <cfRule type="cellIs" dxfId="1263" priority="79" operator="lessThan">
      <formula>$N18</formula>
    </cfRule>
    <cfRule type="containsBlanks" dxfId="1262" priority="78" stopIfTrue="1">
      <formula>LEN(TRIM(O18))=0</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B57429C-F370-4A19-8115-9F615BEC29AD}">
          <x14:formula1>
            <xm:f>'List Values'!$B$4:$B$5</xm:f>
          </x14:formula1>
          <xm:sqref>C42:C43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1D57-9343-4C93-93BD-B5B83D6A337C}">
  <sheetPr codeName="Sheet11"/>
  <dimension ref="B1:V69"/>
  <sheetViews>
    <sheetView workbookViewId="0">
      <selection activeCell="T9" sqref="T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8" width="15.85546875" style="66" customWidth="1"/>
    <col min="9" max="13" width="12.85546875" style="66" customWidth="1"/>
    <col min="14" max="14" width="28.42578125" style="66" customWidth="1"/>
    <col min="15" max="18" width="14.85546875" style="66" customWidth="1"/>
    <col min="19" max="20" width="13.5703125" style="66" customWidth="1"/>
    <col min="21" max="16384" width="8.7109375" style="66"/>
  </cols>
  <sheetData>
    <row r="1" spans="2:22" ht="21" x14ac:dyDescent="0.35">
      <c r="C1" s="83" t="s">
        <v>1</v>
      </c>
    </row>
    <row r="2" spans="2:22" ht="21" x14ac:dyDescent="0.35">
      <c r="C2" s="83" t="s">
        <v>470</v>
      </c>
      <c r="T2" s="67"/>
    </row>
    <row r="3" spans="2:22" ht="15.75" x14ac:dyDescent="0.25">
      <c r="C3" s="67"/>
      <c r="T3" s="67"/>
    </row>
    <row r="4" spans="2:22" ht="21" x14ac:dyDescent="0.35">
      <c r="C4" s="84" t="s">
        <v>83</v>
      </c>
      <c r="D4" s="85"/>
      <c r="E4" s="85"/>
      <c r="F4" s="85"/>
      <c r="G4" s="85"/>
      <c r="H4" s="85"/>
      <c r="I4" s="85"/>
      <c r="J4" s="85"/>
      <c r="K4" s="85"/>
      <c r="L4" s="85"/>
      <c r="M4" s="85"/>
      <c r="N4" s="84" t="s">
        <v>29</v>
      </c>
      <c r="T4" s="67"/>
    </row>
    <row r="5" spans="2:22" ht="21" x14ac:dyDescent="0.35">
      <c r="C5" s="85"/>
      <c r="D5" s="85"/>
      <c r="E5" s="85"/>
      <c r="F5" s="85"/>
      <c r="G5" s="85"/>
      <c r="H5" s="85"/>
      <c r="I5" s="85"/>
      <c r="J5" s="85"/>
      <c r="K5" s="85"/>
      <c r="L5" s="85"/>
      <c r="M5" s="85"/>
      <c r="N5" s="83"/>
      <c r="T5" s="67"/>
    </row>
    <row r="6" spans="2:22" ht="21" x14ac:dyDescent="0.35">
      <c r="C6" s="83" t="s">
        <v>84</v>
      </c>
      <c r="D6" s="85"/>
      <c r="E6" s="85"/>
      <c r="F6" s="85"/>
      <c r="G6" s="85"/>
      <c r="H6" s="85"/>
      <c r="I6" s="85"/>
      <c r="J6" s="85"/>
      <c r="K6" s="85"/>
      <c r="L6" s="85"/>
      <c r="M6" s="85"/>
      <c r="N6" s="83" t="s">
        <v>84</v>
      </c>
      <c r="T6" s="67"/>
    </row>
    <row r="7" spans="2:22" ht="15.75" x14ac:dyDescent="0.25">
      <c r="C7" s="67"/>
      <c r="T7" s="67"/>
    </row>
    <row r="8" spans="2:22" ht="38.25" x14ac:dyDescent="0.25">
      <c r="C8" s="592" t="s">
        <v>85</v>
      </c>
      <c r="D8" s="593" t="s">
        <v>23</v>
      </c>
      <c r="E8" s="411" t="s">
        <v>86</v>
      </c>
      <c r="F8" s="411" t="s">
        <v>87</v>
      </c>
      <c r="G8" s="411" t="s">
        <v>88</v>
      </c>
      <c r="H8" s="411" t="s">
        <v>89</v>
      </c>
      <c r="I8" s="411" t="s">
        <v>90</v>
      </c>
      <c r="J8" s="291"/>
      <c r="K8" s="291"/>
      <c r="L8" s="291"/>
      <c r="M8" s="291"/>
      <c r="N8" s="592" t="s">
        <v>85</v>
      </c>
      <c r="O8" s="592" t="s">
        <v>23</v>
      </c>
      <c r="P8" s="411" t="s">
        <v>91</v>
      </c>
      <c r="Q8" s="411" t="s">
        <v>92</v>
      </c>
      <c r="R8" s="411" t="s">
        <v>93</v>
      </c>
      <c r="S8" s="411" t="s">
        <v>94</v>
      </c>
      <c r="T8" s="411" t="s">
        <v>95</v>
      </c>
      <c r="V8" s="67"/>
    </row>
    <row r="9" spans="2:22" ht="27" x14ac:dyDescent="0.25">
      <c r="C9" s="592"/>
      <c r="D9" s="593"/>
      <c r="E9" s="411" t="s">
        <v>150</v>
      </c>
      <c r="F9" s="411" t="s">
        <v>151</v>
      </c>
      <c r="G9" s="411" t="s">
        <v>152</v>
      </c>
      <c r="H9" s="411" t="s">
        <v>152</v>
      </c>
      <c r="I9" s="411" t="s">
        <v>153</v>
      </c>
      <c r="J9" s="291"/>
      <c r="K9" s="291"/>
      <c r="L9" s="291"/>
      <c r="M9" s="291"/>
      <c r="N9" s="592"/>
      <c r="O9" s="592"/>
      <c r="P9" s="411" t="s">
        <v>100</v>
      </c>
      <c r="Q9" s="411" t="s">
        <v>154</v>
      </c>
      <c r="R9" s="411" t="s">
        <v>503</v>
      </c>
      <c r="S9" s="411" t="s">
        <v>155</v>
      </c>
      <c r="T9" s="411" t="s">
        <v>504</v>
      </c>
      <c r="V9" s="67"/>
    </row>
    <row r="10" spans="2:22" ht="15.75" x14ac:dyDescent="0.25">
      <c r="C10" s="88" t="s">
        <v>30</v>
      </c>
      <c r="D10" s="594" t="s">
        <v>103</v>
      </c>
      <c r="E10" s="316">
        <f>INDEX('Inhalation Exposures'!$I$37:$I$44, MATCH('1,1-DCA_test order_max_LGT'!$C$2, 'Inhalation Exposures'!$A$37:$A$44, 0))</f>
        <v>1.6000000000000001E-3</v>
      </c>
      <c r="F10" s="316">
        <f>INDEX('Inhalation Exposures'!$K$37:$K$44, MATCH('1,1-DCA_test order_max_LGT'!$C$2, 'Inhalation Exposures'!$A$37:$A$44, 0))</f>
        <v>1.0884353741496598E-3</v>
      </c>
      <c r="G10" s="316">
        <f>INDEX('Inhalation Exposures'!$M$37:$M$44, MATCH('1,1-DCA_test order_max_LGT'!$C$2, 'Inhalation Exposures'!$A$37:$A$44, 0))</f>
        <v>7.9818594104308393E-4</v>
      </c>
      <c r="H10" s="316">
        <f>INDEX('Inhalation Exposures'!$O$37:$O$44, MATCH('1,1-DCA_test order_max_LGT'!$C$2, 'Inhalation Exposures'!$A$37:$A$44, 0))</f>
        <v>7.455036809244246E-4</v>
      </c>
      <c r="I10" s="316">
        <f>INDEX('Inhalation Exposures'!$Q$37:$Q$44, MATCH('1,1-DCA_test order_max_LGT'!$C$2, 'Inhalation Exposures'!$A$37:$A$44, 0))</f>
        <v>3.8230957996124337E-4</v>
      </c>
      <c r="J10" s="329"/>
      <c r="K10" s="329"/>
      <c r="L10" s="329"/>
      <c r="M10" s="329"/>
      <c r="N10" s="595" t="s">
        <v>104</v>
      </c>
      <c r="O10" s="72" t="s">
        <v>103</v>
      </c>
      <c r="P10" s="316">
        <f>IFERROR(INDEX('Dermal Exposures'!$J$19:$J$27, MATCH('1,1-DCA_test order_max_LGT'!$C$2, 'Dermal Exposures'!$A$19:$A$27, 0)), "")</f>
        <v>2.0223</v>
      </c>
      <c r="Q10" s="316">
        <f>IFERROR(INDEX('Dermal Exposures'!$K$19:$K$27, MATCH('1,1-DCA_test order_max_LGT'!$C$2, 'Dermal Exposures'!$A$19:$A$27, 0)), "")</f>
        <v>2.5278749999999999E-2</v>
      </c>
      <c r="R10" s="316">
        <f>IFERROR(INDEX('Dermal Exposures'!$L$19:$L$27, MATCH('1,1-DCA_test order_max_LGT'!$C$2, 'Dermal Exposures'!$A$19:$A$27, 0)), "")</f>
        <v>1.8537750000000002E-2</v>
      </c>
      <c r="S10" s="316">
        <f>IFERROR(INDEX('Dermal Exposures'!$M$19:$M$27, MATCH('1,1-DCA_test order_max_LGT'!$C$2, 'Dermal Exposures'!$A$19:$A$27, 0)), "")</f>
        <v>1.7314212328767124E-2</v>
      </c>
      <c r="T10" s="316">
        <f>IFERROR(INDEX('Dermal Exposures'!$N$19:$N$27, MATCH('1,1-DCA_test order_max_LGT'!$C$2, 'Dermal Exposures'!$A$19:$A$27, 0)), "")</f>
        <v>8.8790832455216007E-3</v>
      </c>
      <c r="V10" s="67"/>
    </row>
    <row r="11" spans="2:22" ht="15.75" x14ac:dyDescent="0.25">
      <c r="C11" s="88" t="s">
        <v>28</v>
      </c>
      <c r="D11" s="594"/>
      <c r="E11" s="316">
        <f>INDEX('Inhalation Exposures'!$I$50:$I$58, MATCH('1,1-DCA_test order_max_LGT'!$C$2, 'Inhalation Exposures'!$A$50:$A$58, 0))</f>
        <v>4.5661979166666672E-3</v>
      </c>
      <c r="F11" s="316">
        <f>INDEX('Inhalation Exposures'!$K$50:$K$58, MATCH('1,1-DCA_test order_max_LGT'!$C$2, 'Inhalation Exposures'!$A$50:$A$58, 0))</f>
        <v>3.106257086167801E-3</v>
      </c>
      <c r="G11" s="316">
        <f>INDEX('Inhalation Exposures'!$M$50:$M$58, MATCH('1,1-DCA_test order_max_LGT'!$C$2, 'Inhalation Exposures'!$A$50:$A$58, 0))</f>
        <v>2.2779218631897207E-3</v>
      </c>
      <c r="H11" s="316">
        <f>INDEX('Inhalation Exposures'!$O$50:$O$58, MATCH('1,1-DCA_test order_max_LGT'!$C$2, 'Inhalation Exposures'!$A$50:$A$58, 0))</f>
        <v>2.1275733466902744E-3</v>
      </c>
      <c r="I11" s="316">
        <f>INDEX('Inhalation Exposures'!$Q$50:$Q$58, MATCH('1,1-DCA_test order_max_LGT'!$C$2, 'Inhalation Exposures'!$A$50:$A$58, 0))</f>
        <v>1.0910632547129612E-3</v>
      </c>
      <c r="J11" s="329"/>
      <c r="K11" s="329"/>
      <c r="L11" s="329"/>
      <c r="M11" s="329"/>
      <c r="N11" s="595"/>
      <c r="O11" s="72" t="s">
        <v>27</v>
      </c>
      <c r="P11" s="316">
        <f>IFERROR(INDEX('Dermal Exposures'!$O$19:$O$27, MATCH('1,1-DCA_test order_max_LGT'!$C$2, 'Dermal Exposures'!$A$19:$A$27, 0)), "")</f>
        <v>0.67410000000000003</v>
      </c>
      <c r="Q11" s="316">
        <f>IFERROR(INDEX('Dermal Exposures'!$P$19:$P$27, MATCH('1,1-DCA_test order_max_LGT'!$C$2, 'Dermal Exposures'!$A$19:$A$27, 0)), "")</f>
        <v>8.4262499999999997E-3</v>
      </c>
      <c r="R11" s="316">
        <f>IFERROR(INDEX('Dermal Exposures'!$Q$19:$Q$27, MATCH('1,1-DCA_test order_max_LGT'!$C$2, 'Dermal Exposures'!$A$19:$A$27, 0)), "")</f>
        <v>6.1792499999999998E-3</v>
      </c>
      <c r="S11" s="316">
        <f>IFERROR(INDEX('Dermal Exposures'!$R$19:$R$27, MATCH('1,1-DCA_test order_max_LGT'!$C$2, 'Dermal Exposures'!$A$19:$A$27, 0)), "")</f>
        <v>5.7714041095890409E-3</v>
      </c>
      <c r="T11" s="316">
        <f>IFERROR(INDEX('Dermal Exposures'!$S$19:$S$27, MATCH('1,1-DCA_test order_max_LGT'!$C$2, 'Dermal Exposures'!$A$19:$A$27, 0)), "")</f>
        <v>2.2937631717597469E-3</v>
      </c>
      <c r="V11" s="67"/>
    </row>
    <row r="12" spans="2:22" ht="15.75" x14ac:dyDescent="0.25">
      <c r="C12" s="88" t="s">
        <v>30</v>
      </c>
      <c r="D12" s="591" t="s">
        <v>27</v>
      </c>
      <c r="E12" s="316">
        <f>INDEX('Inhalation Exposures'!$J$37:$J$44, MATCH('1,1-DCA_test order_max_LGT'!$C$2, 'Inhalation Exposures'!$A$37:$A$44, 0))</f>
        <v>6.7000000000000002E-5</v>
      </c>
      <c r="F12" s="316">
        <f>INDEX('Inhalation Exposures'!$L$37:$L$44, MATCH('1,1-DCA_test order_max_LGT'!$C$2, 'Inhalation Exposures'!$A$37:$A$44, 0))</f>
        <v>4.5578231292517009E-5</v>
      </c>
      <c r="G12" s="316">
        <f>INDEX('Inhalation Exposures'!$N$37:$N$44, MATCH('1,1-DCA_test order_max_LGT'!$C$2, 'Inhalation Exposures'!$A$37:$A$44, 0))</f>
        <v>3.3424036281179142E-5</v>
      </c>
      <c r="H12" s="316">
        <f>INDEX('Inhalation Exposures'!$P$37:$P$44, MATCH('1,1-DCA_test order_max_LGT'!$C$2, 'Inhalation Exposures'!$A$37:$A$44, 0))</f>
        <v>3.1217966638710281E-5</v>
      </c>
      <c r="I12" s="316">
        <f>INDEX('Inhalation Exposures'!$R$37:$R$44, MATCH('1,1-DCA_test order_max_LGT'!$C$2, 'Inhalation Exposures'!$A$37:$A$44, 0))</f>
        <v>1.2407140587179725E-5</v>
      </c>
      <c r="J12" s="329"/>
      <c r="K12" s="329"/>
      <c r="L12" s="329"/>
      <c r="M12" s="329"/>
      <c r="N12" s="565" t="str">
        <f>_xlfn.CONCAT("Worker with Gloves; 
PF of ",'List Values'!$B$16)</f>
        <v>Worker with Gloves; 
PF of 5</v>
      </c>
      <c r="O12" s="71" t="s">
        <v>103</v>
      </c>
      <c r="P12" s="316">
        <f>P10/'List Values'!$B$16</f>
        <v>0.40445999999999999</v>
      </c>
      <c r="Q12" s="316">
        <f>Q10/'List Values'!$B$16</f>
        <v>5.0557499999999995E-3</v>
      </c>
      <c r="R12" s="316">
        <f>R10/'List Values'!$B$16</f>
        <v>3.7075500000000004E-3</v>
      </c>
      <c r="S12" s="316">
        <f>S10/'List Values'!$B$16</f>
        <v>3.4628424657534248E-3</v>
      </c>
      <c r="T12" s="316">
        <f>T10/'List Values'!$B$16</f>
        <v>1.7758166491043201E-3</v>
      </c>
      <c r="U12" s="67"/>
    </row>
    <row r="13" spans="2:22" ht="15.75" x14ac:dyDescent="0.25">
      <c r="C13" s="88" t="s">
        <v>28</v>
      </c>
      <c r="D13" s="591"/>
      <c r="E13" s="316">
        <f>INDEX('Inhalation Exposures'!$J$50:$J$58, MATCH('1,1-DCA_test order_max_LGT'!$C$2, 'Inhalation Exposures'!$A$50:$A$58, 0))</f>
        <v>6.9401041666666667E-5</v>
      </c>
      <c r="F13" s="316">
        <f>INDEX('Inhalation Exposures'!$L$50:$L$58, MATCH('1,1-DCA_test order_max_LGT'!$C$2, 'Inhalation Exposures'!$A$50:$A$58, 0))</f>
        <v>4.721159297052154E-5</v>
      </c>
      <c r="G13" s="316">
        <f>INDEX('Inhalation Exposures'!$N$50:$N$58, MATCH('1,1-DCA_test order_max_LGT'!$C$2, 'Inhalation Exposures'!$A$50:$A$58, 0))</f>
        <v>3.4621834845049136E-5</v>
      </c>
      <c r="H13" s="316">
        <f>INDEX('Inhalation Exposures'!$P$50:$P$58, MATCH('1,1-DCA_test order_max_LGT'!$C$2, 'Inhalation Exposures'!$A$50:$A$58, 0))</f>
        <v>3.233670751405585E-5</v>
      </c>
      <c r="I13" s="316">
        <f>INDEX('Inhalation Exposures'!$R$50:$R$58, MATCH('1,1-DCA_test order_max_LGT'!$C$2, 'Inhalation Exposures'!$A$50:$A$58, 0))</f>
        <v>1.2851768370970914E-5</v>
      </c>
      <c r="J13" s="329"/>
      <c r="K13" s="329"/>
      <c r="L13" s="329"/>
      <c r="M13" s="329"/>
      <c r="N13" s="565"/>
      <c r="O13" s="71" t="s">
        <v>27</v>
      </c>
      <c r="P13" s="316">
        <f>P11/'List Values'!$B$16</f>
        <v>0.13482</v>
      </c>
      <c r="Q13" s="316">
        <f>Q11/'List Values'!$B$16</f>
        <v>1.6852499999999999E-3</v>
      </c>
      <c r="R13" s="316">
        <f>R11/'List Values'!$B$16</f>
        <v>1.2358499999999999E-3</v>
      </c>
      <c r="S13" s="316">
        <f>S11/'List Values'!$B$16</f>
        <v>1.1542808219178083E-3</v>
      </c>
      <c r="T13" s="316">
        <f>T11/'List Values'!$B$16</f>
        <v>4.5875263435194937E-4</v>
      </c>
      <c r="U13" s="67"/>
    </row>
    <row r="14" spans="2:22" x14ac:dyDescent="0.2">
      <c r="N14" s="565" t="str">
        <f>_xlfn.CONCAT("Worker with Gloves; 
PF of ",'List Values'!$B$17)</f>
        <v>Worker with Gloves; 
PF of 10</v>
      </c>
      <c r="O14" s="71" t="s">
        <v>103</v>
      </c>
      <c r="P14" s="316">
        <f>P10/'List Values'!$B$17</f>
        <v>0.20222999999999999</v>
      </c>
      <c r="Q14" s="316">
        <f>Q10/'List Values'!$B$17</f>
        <v>2.5278749999999997E-3</v>
      </c>
      <c r="R14" s="316">
        <f>R10/'List Values'!$B$17</f>
        <v>1.8537750000000002E-3</v>
      </c>
      <c r="S14" s="316">
        <f>S10/'List Values'!$B$17</f>
        <v>1.7314212328767124E-3</v>
      </c>
      <c r="T14" s="316">
        <f>T10/'List Values'!$B$17</f>
        <v>8.8790832455216007E-4</v>
      </c>
    </row>
    <row r="15" spans="2:22" ht="21" x14ac:dyDescent="0.35">
      <c r="C15" s="83" t="s">
        <v>105</v>
      </c>
      <c r="N15" s="565"/>
      <c r="O15" s="71" t="s">
        <v>27</v>
      </c>
      <c r="P15" s="316">
        <f>P11/'List Values'!$B$17</f>
        <v>6.7409999999999998E-2</v>
      </c>
      <c r="Q15" s="316">
        <f>Q11/'List Values'!$B$17</f>
        <v>8.4262499999999995E-4</v>
      </c>
      <c r="R15" s="316">
        <f>R11/'List Values'!$B$17</f>
        <v>6.1792499999999996E-4</v>
      </c>
      <c r="S15" s="316">
        <f>S11/'List Values'!$B$17</f>
        <v>5.7714041095890413E-4</v>
      </c>
      <c r="T15" s="316">
        <f>T11/'List Values'!$B$17</f>
        <v>2.2937631717597469E-4</v>
      </c>
    </row>
    <row r="16" spans="2:22" ht="28.5" customHeight="1" x14ac:dyDescent="0.2">
      <c r="B16" s="70"/>
      <c r="C16" s="568" t="s">
        <v>106</v>
      </c>
      <c r="D16" s="568" t="s">
        <v>107</v>
      </c>
      <c r="E16" s="568" t="s">
        <v>23</v>
      </c>
      <c r="F16" s="568" t="s">
        <v>108</v>
      </c>
      <c r="G16" s="568" t="s">
        <v>109</v>
      </c>
      <c r="H16" s="568"/>
      <c r="I16" s="90"/>
      <c r="J16" s="90"/>
      <c r="K16" s="90"/>
      <c r="L16" s="90"/>
      <c r="M16" s="90"/>
      <c r="N16" s="565" t="str">
        <f>_xlfn.CONCAT("Worker with Gloves; 
PF of ",'List Values'!$B$18)</f>
        <v>Worker with Gloves; 
PF of 20</v>
      </c>
      <c r="O16" s="71" t="s">
        <v>103</v>
      </c>
      <c r="P16" s="316">
        <f>P10/'List Values'!$B$18</f>
        <v>0.101115</v>
      </c>
      <c r="Q16" s="316">
        <f>Q10/'List Values'!$B$18</f>
        <v>1.2639374999999999E-3</v>
      </c>
      <c r="R16" s="316">
        <f>R10/'List Values'!$B$18</f>
        <v>9.2688750000000011E-4</v>
      </c>
      <c r="S16" s="316">
        <f>S10/'List Values'!$B$18</f>
        <v>8.657106164383562E-4</v>
      </c>
      <c r="T16" s="316">
        <f>T10/'List Values'!$B$18</f>
        <v>4.4395416227608004E-4</v>
      </c>
    </row>
    <row r="17" spans="2:20" ht="26.1" customHeight="1" x14ac:dyDescent="0.2">
      <c r="B17" s="70"/>
      <c r="C17" s="568"/>
      <c r="D17" s="568"/>
      <c r="E17" s="568"/>
      <c r="F17" s="568"/>
      <c r="G17" s="413" t="s">
        <v>110</v>
      </c>
      <c r="H17" s="413" t="s">
        <v>111</v>
      </c>
      <c r="I17" s="90"/>
      <c r="J17" s="90"/>
      <c r="K17" s="90"/>
      <c r="L17" s="90"/>
      <c r="M17" s="90"/>
      <c r="N17" s="565"/>
      <c r="O17" s="71" t="s">
        <v>27</v>
      </c>
      <c r="P17" s="316">
        <f>P11/'List Values'!$B$18</f>
        <v>3.3704999999999999E-2</v>
      </c>
      <c r="Q17" s="316">
        <f>Q11/'List Values'!$B$18</f>
        <v>4.2131249999999997E-4</v>
      </c>
      <c r="R17" s="316">
        <f>R11/'List Values'!$B$18</f>
        <v>3.0896249999999998E-4</v>
      </c>
      <c r="S17" s="316">
        <f>S11/'List Values'!$B$18</f>
        <v>2.8857020547945207E-4</v>
      </c>
      <c r="T17" s="316">
        <f>T11/'List Values'!$B$18</f>
        <v>1.1468815858798734E-4</v>
      </c>
    </row>
    <row r="18" spans="2:20" ht="27.6" customHeight="1" x14ac:dyDescent="0.2">
      <c r="B18" s="70"/>
      <c r="C18" s="587" t="s">
        <v>112</v>
      </c>
      <c r="D18" s="580">
        <f>INDEX('Health Data'!$G:$G,MATCH($C$2,'Health Data'!$B:$B,0))</f>
        <v>2.4163399353274051</v>
      </c>
      <c r="E18" s="71" t="s">
        <v>103</v>
      </c>
      <c r="F18" s="412">
        <v>30</v>
      </c>
      <c r="G18" s="101">
        <f>D18/$F$10</f>
        <v>2220.0123155820534</v>
      </c>
      <c r="H18" s="102">
        <f>D18/$F$11</f>
        <v>777.89438166190268</v>
      </c>
      <c r="I18" s="77"/>
      <c r="J18" s="77"/>
      <c r="K18" s="77"/>
      <c r="L18" s="77"/>
      <c r="M18" s="77"/>
    </row>
    <row r="19" spans="2:20" ht="25.5" customHeight="1" x14ac:dyDescent="0.35">
      <c r="B19" s="70"/>
      <c r="C19" s="588"/>
      <c r="D19" s="555"/>
      <c r="E19" s="71" t="s">
        <v>27</v>
      </c>
      <c r="F19" s="412">
        <v>30</v>
      </c>
      <c r="G19" s="101">
        <f>D18/$F$12</f>
        <v>53015.219476586346</v>
      </c>
      <c r="H19" s="102">
        <f>D18/$F$13</f>
        <v>51181.071920961112</v>
      </c>
      <c r="I19" s="77"/>
      <c r="J19" s="77"/>
      <c r="K19" s="77"/>
      <c r="L19" s="77"/>
      <c r="M19" s="77"/>
      <c r="N19" s="83" t="s">
        <v>113</v>
      </c>
    </row>
    <row r="20" spans="2:20"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20" ht="25.5" customHeight="1" x14ac:dyDescent="0.2">
      <c r="B21" s="73"/>
      <c r="C21" s="98" t="s">
        <v>115</v>
      </c>
      <c r="D21" s="96"/>
      <c r="E21" s="76"/>
      <c r="F21" s="75"/>
      <c r="G21" s="77"/>
      <c r="H21" s="77"/>
      <c r="I21" s="77"/>
      <c r="J21" s="77"/>
      <c r="K21" s="77"/>
      <c r="L21" s="77"/>
      <c r="M21" s="77"/>
      <c r="N21" s="571"/>
      <c r="O21" s="571"/>
      <c r="P21" s="571"/>
      <c r="Q21" s="571"/>
      <c r="R21" s="422" t="s">
        <v>116</v>
      </c>
    </row>
    <row r="22" spans="2:20" ht="25.5" customHeight="1" x14ac:dyDescent="0.2">
      <c r="B22" s="73"/>
      <c r="C22" s="568" t="s">
        <v>106</v>
      </c>
      <c r="D22" s="568" t="s">
        <v>107</v>
      </c>
      <c r="E22" s="569" t="s">
        <v>23</v>
      </c>
      <c r="F22" s="568" t="s">
        <v>108</v>
      </c>
      <c r="G22" s="568" t="s">
        <v>117</v>
      </c>
      <c r="H22" s="568"/>
      <c r="I22" s="77"/>
      <c r="J22" s="77"/>
      <c r="K22" s="77"/>
      <c r="L22" s="77"/>
      <c r="M22" s="77"/>
      <c r="N22" s="587" t="s">
        <v>118</v>
      </c>
      <c r="O22" s="589">
        <f>INDEX('Health Data'!$K:$K,MATCH($C$2,'Health Data'!$B:$B,0))</f>
        <v>19.899999999999999</v>
      </c>
      <c r="P22" s="72" t="s">
        <v>103</v>
      </c>
      <c r="Q22" s="412">
        <v>30</v>
      </c>
      <c r="R22" s="101">
        <f>IFERROR(O22/Q10, "")</f>
        <v>787.22246946546011</v>
      </c>
    </row>
    <row r="23" spans="2:20" ht="25.5" customHeight="1" x14ac:dyDescent="0.2">
      <c r="B23" s="73"/>
      <c r="C23" s="582"/>
      <c r="D23" s="582"/>
      <c r="E23" s="586"/>
      <c r="F23" s="582"/>
      <c r="G23" s="415" t="s">
        <v>110</v>
      </c>
      <c r="H23" s="415" t="s">
        <v>111</v>
      </c>
      <c r="I23" s="77"/>
      <c r="J23" s="77"/>
      <c r="K23" s="77"/>
      <c r="L23" s="77"/>
      <c r="M23" s="77"/>
      <c r="N23" s="588"/>
      <c r="O23" s="590"/>
      <c r="P23" s="72" t="s">
        <v>27</v>
      </c>
      <c r="Q23" s="412">
        <v>30</v>
      </c>
      <c r="R23" s="101">
        <f>IFERROR(O22/Q11, "")</f>
        <v>2361.6674083963803</v>
      </c>
    </row>
    <row r="24" spans="2:20" ht="25.5" customHeight="1" x14ac:dyDescent="0.2">
      <c r="B24" s="73"/>
      <c r="C24" s="577" t="s">
        <v>149</v>
      </c>
      <c r="D24" s="578">
        <v>22</v>
      </c>
      <c r="E24" s="71" t="s">
        <v>103</v>
      </c>
      <c r="F24" s="412">
        <v>30</v>
      </c>
      <c r="G24" s="419">
        <f>D24/$G$10</f>
        <v>27562.5</v>
      </c>
      <c r="H24" s="419">
        <f>D24/$G$11</f>
        <v>9657.925653865017</v>
      </c>
      <c r="I24" s="77"/>
      <c r="J24" s="77"/>
      <c r="K24" s="77"/>
      <c r="L24" s="77"/>
      <c r="M24" s="77"/>
      <c r="N24" s="74"/>
      <c r="O24" s="75"/>
      <c r="P24" s="81"/>
      <c r="Q24" s="75"/>
      <c r="R24" s="77"/>
    </row>
    <row r="25" spans="2:20" ht="25.5" customHeight="1" thickBot="1" x14ac:dyDescent="0.25">
      <c r="B25" s="73"/>
      <c r="C25" s="577"/>
      <c r="D25" s="559"/>
      <c r="E25" s="71" t="s">
        <v>27</v>
      </c>
      <c r="F25" s="412">
        <v>30</v>
      </c>
      <c r="G25" s="419">
        <f>D24/$G$12</f>
        <v>658208.95522388048</v>
      </c>
      <c r="H25" s="419">
        <f>D24/$G$13</f>
        <v>635437.14821763593</v>
      </c>
      <c r="I25" s="77"/>
      <c r="J25" s="77"/>
      <c r="K25" s="77"/>
      <c r="L25" s="77"/>
      <c r="M25" s="77"/>
      <c r="N25" s="97" t="s">
        <v>120</v>
      </c>
      <c r="O25" s="75"/>
      <c r="P25" s="81"/>
      <c r="Q25" s="75"/>
      <c r="R25" s="77"/>
    </row>
    <row r="26" spans="2:20" ht="38.25" x14ac:dyDescent="0.2">
      <c r="B26" s="73"/>
      <c r="C26" s="74"/>
      <c r="D26" s="96"/>
      <c r="E26" s="76"/>
      <c r="F26" s="75"/>
      <c r="G26" s="77"/>
      <c r="H26" s="77"/>
      <c r="I26" s="77"/>
      <c r="J26" s="77"/>
      <c r="K26" s="77"/>
      <c r="L26" s="77"/>
      <c r="M26" s="77"/>
      <c r="N26" s="568" t="s">
        <v>106</v>
      </c>
      <c r="O26" s="568" t="s">
        <v>121</v>
      </c>
      <c r="P26" s="569" t="s">
        <v>23</v>
      </c>
      <c r="Q26" s="568" t="s">
        <v>108</v>
      </c>
      <c r="R26" s="413" t="s">
        <v>117</v>
      </c>
    </row>
    <row r="27" spans="2:20" s="85" customFormat="1" ht="25.5" x14ac:dyDescent="0.35">
      <c r="B27" s="83"/>
      <c r="C27" s="83" t="s">
        <v>122</v>
      </c>
      <c r="F27" s="86"/>
      <c r="N27" s="568"/>
      <c r="O27" s="568"/>
      <c r="P27" s="569"/>
      <c r="Q27" s="568"/>
      <c r="R27" s="413" t="s">
        <v>116</v>
      </c>
      <c r="S27" s="66"/>
      <c r="T27" s="66"/>
    </row>
    <row r="28" spans="2:20" ht="26.1" customHeight="1" x14ac:dyDescent="0.2">
      <c r="B28" s="79"/>
      <c r="C28" s="568" t="s">
        <v>106</v>
      </c>
      <c r="D28" s="568" t="s">
        <v>107</v>
      </c>
      <c r="E28" s="568" t="s">
        <v>23</v>
      </c>
      <c r="F28" s="568" t="s">
        <v>108</v>
      </c>
      <c r="G28" s="568" t="s">
        <v>123</v>
      </c>
      <c r="H28" s="568"/>
      <c r="I28" s="90"/>
      <c r="J28" s="90"/>
      <c r="K28" s="90"/>
      <c r="L28" s="90"/>
      <c r="M28" s="90"/>
      <c r="N28" s="579" t="s">
        <v>124</v>
      </c>
      <c r="O28" s="580">
        <f>INDEX('Health Data'!$T:$T,MATCH($C$2,'Health Data'!$B:$B,0))</f>
        <v>6.5</v>
      </c>
      <c r="P28" s="72" t="s">
        <v>103</v>
      </c>
      <c r="Q28" s="412">
        <v>30</v>
      </c>
      <c r="R28" s="107">
        <f>IFERROR(O28/$R$10, "")</f>
        <v>350.6358646545562</v>
      </c>
    </row>
    <row r="29" spans="2:20" x14ac:dyDescent="0.2">
      <c r="B29" s="79"/>
      <c r="C29" s="568"/>
      <c r="D29" s="568"/>
      <c r="E29" s="568"/>
      <c r="F29" s="568"/>
      <c r="G29" s="413" t="s">
        <v>110</v>
      </c>
      <c r="H29" s="413" t="s">
        <v>111</v>
      </c>
      <c r="I29" s="90"/>
      <c r="J29" s="90"/>
      <c r="K29" s="90"/>
      <c r="L29" s="90"/>
      <c r="M29" s="90"/>
      <c r="N29" s="579"/>
      <c r="O29" s="555"/>
      <c r="P29" s="72" t="s">
        <v>27</v>
      </c>
      <c r="Q29" s="412">
        <v>30</v>
      </c>
      <c r="R29" s="107">
        <f>IFERROR(O28/$R$11, "")</f>
        <v>1051.9075939636687</v>
      </c>
    </row>
    <row r="30" spans="2:20" ht="33" customHeight="1" x14ac:dyDescent="0.2">
      <c r="B30" s="79"/>
      <c r="C30" s="577" t="s">
        <v>149</v>
      </c>
      <c r="D30" s="578">
        <f>INDEX('Health Data'!$P:$P,MATCH($C$2,'Health Data'!$B:$B,0))</f>
        <v>5.2378738884397729</v>
      </c>
      <c r="E30" s="72" t="s">
        <v>103</v>
      </c>
      <c r="F30" s="412">
        <v>300</v>
      </c>
      <c r="G30" s="419">
        <f>D30/$H$10</f>
        <v>7025.9530871058996</v>
      </c>
      <c r="H30" s="419">
        <f>D30/$H$11</f>
        <v>2461.9005011451136</v>
      </c>
      <c r="I30" s="77"/>
      <c r="J30" s="77"/>
      <c r="K30" s="77"/>
      <c r="L30" s="77"/>
      <c r="M30" s="77"/>
      <c r="N30" s="74"/>
      <c r="O30" s="75"/>
      <c r="P30" s="81"/>
      <c r="Q30" s="75"/>
      <c r="R30" s="77"/>
    </row>
    <row r="31" spans="2:20" ht="33" customHeight="1" x14ac:dyDescent="0.35">
      <c r="B31" s="79"/>
      <c r="C31" s="577"/>
      <c r="D31" s="559"/>
      <c r="E31" s="72" t="s">
        <v>27</v>
      </c>
      <c r="F31" s="412">
        <v>300</v>
      </c>
      <c r="G31" s="419">
        <f>D30/$H$12</f>
        <v>167783.95431894687</v>
      </c>
      <c r="H31" s="419">
        <f>D30/$H$13</f>
        <v>161979.19612449777</v>
      </c>
      <c r="I31" s="77"/>
      <c r="J31" s="77"/>
      <c r="K31" s="77"/>
      <c r="L31" s="77"/>
      <c r="M31" s="77"/>
      <c r="N31" s="83" t="s">
        <v>125</v>
      </c>
      <c r="O31" s="85"/>
      <c r="P31" s="85"/>
      <c r="Q31" s="85"/>
      <c r="R31" s="85"/>
      <c r="S31" s="85"/>
      <c r="T31" s="85"/>
    </row>
    <row r="32" spans="2:20" ht="25.5" x14ac:dyDescent="0.2">
      <c r="B32" s="79"/>
      <c r="C32" s="80"/>
      <c r="D32" s="75"/>
      <c r="E32" s="81"/>
      <c r="F32" s="75"/>
      <c r="G32" s="77"/>
      <c r="H32" s="77"/>
      <c r="I32" s="77"/>
      <c r="J32" s="77"/>
      <c r="K32" s="77"/>
      <c r="L32" s="77"/>
      <c r="M32" s="77"/>
      <c r="N32" s="566" t="s">
        <v>106</v>
      </c>
      <c r="O32" s="566" t="s">
        <v>121</v>
      </c>
      <c r="P32" s="566" t="s">
        <v>23</v>
      </c>
      <c r="Q32" s="566" t="s">
        <v>108</v>
      </c>
      <c r="R32" s="411" t="s">
        <v>123</v>
      </c>
    </row>
    <row r="33" spans="2:20" ht="33" customHeight="1" x14ac:dyDescent="0.35">
      <c r="B33" s="79"/>
      <c r="C33" s="83" t="s">
        <v>126</v>
      </c>
      <c r="D33" s="85"/>
      <c r="E33" s="85"/>
      <c r="F33" s="85"/>
      <c r="G33" s="85"/>
      <c r="H33" s="85"/>
      <c r="I33" s="77"/>
      <c r="J33" s="77"/>
      <c r="K33" s="77"/>
      <c r="L33" s="77"/>
      <c r="M33" s="77"/>
      <c r="N33" s="581"/>
      <c r="O33" s="567"/>
      <c r="P33" s="567"/>
      <c r="Q33" s="567"/>
      <c r="R33" s="411" t="s">
        <v>116</v>
      </c>
    </row>
    <row r="34" spans="2:20" ht="33" customHeight="1" x14ac:dyDescent="0.2">
      <c r="B34" s="79"/>
      <c r="C34" s="582" t="s">
        <v>127</v>
      </c>
      <c r="D34" s="566" t="s">
        <v>128</v>
      </c>
      <c r="E34" s="566" t="s">
        <v>23</v>
      </c>
      <c r="F34" s="583" t="s">
        <v>129</v>
      </c>
      <c r="G34" s="568" t="s">
        <v>130</v>
      </c>
      <c r="H34" s="568"/>
      <c r="I34" s="77"/>
      <c r="J34" s="77"/>
      <c r="K34" s="77"/>
      <c r="L34" s="77"/>
      <c r="M34" s="77"/>
      <c r="N34" s="579" t="s">
        <v>124</v>
      </c>
      <c r="O34" s="580">
        <f>INDEX('Health Data'!$T:$T,MATCH($C$2,'Health Data'!$B:$B,0))</f>
        <v>6.5</v>
      </c>
      <c r="P34" s="72" t="s">
        <v>103</v>
      </c>
      <c r="Q34" s="412">
        <v>300</v>
      </c>
      <c r="R34" s="107">
        <f>IFERROR(O34/$S$10, "")</f>
        <v>375.41413242347824</v>
      </c>
    </row>
    <row r="35" spans="2:20" ht="33" customHeight="1" x14ac:dyDescent="0.2">
      <c r="B35" s="79"/>
      <c r="C35" s="530"/>
      <c r="D35" s="567"/>
      <c r="E35" s="567"/>
      <c r="F35" s="584"/>
      <c r="G35" s="413" t="s">
        <v>131</v>
      </c>
      <c r="H35" s="413" t="s">
        <v>28</v>
      </c>
      <c r="I35" s="77"/>
      <c r="J35" s="77"/>
      <c r="K35" s="77"/>
      <c r="L35" s="77"/>
      <c r="M35" s="77"/>
      <c r="N35" s="579"/>
      <c r="O35" s="555"/>
      <c r="P35" s="72" t="s">
        <v>27</v>
      </c>
      <c r="Q35" s="412">
        <v>300</v>
      </c>
      <c r="R35" s="107">
        <f>IFERROR(O34/$S$11, "")</f>
        <v>1126.2423972704346</v>
      </c>
    </row>
    <row r="36" spans="2:20" ht="33" customHeight="1" x14ac:dyDescent="0.2">
      <c r="B36" s="79"/>
      <c r="C36" s="572" t="s">
        <v>132</v>
      </c>
      <c r="D36" s="574">
        <f>INDEX('Health Data'!$Y:$Y,MATCH($C$2,'Health Data'!$B:$B,0))</f>
        <v>2.8736850715746418E-2</v>
      </c>
      <c r="E36" s="71" t="s">
        <v>103</v>
      </c>
      <c r="F36" s="107">
        <v>1E-4</v>
      </c>
      <c r="G36" s="103">
        <f>I10*D36</f>
        <v>1.0986373326545968E-5</v>
      </c>
      <c r="H36" s="104">
        <f>I11*D36</f>
        <v>3.1353721872122776E-5</v>
      </c>
      <c r="I36" s="77"/>
      <c r="J36" s="77"/>
      <c r="K36" s="77"/>
      <c r="L36" s="77"/>
      <c r="M36" s="77"/>
    </row>
    <row r="37" spans="2:20" ht="33" customHeight="1" x14ac:dyDescent="0.35">
      <c r="B37" s="79"/>
      <c r="C37" s="573"/>
      <c r="D37" s="575"/>
      <c r="E37" s="71" t="s">
        <v>27</v>
      </c>
      <c r="F37" s="107">
        <v>1E-4</v>
      </c>
      <c r="G37" s="105">
        <f>I12*D36</f>
        <v>3.5654214686306214E-7</v>
      </c>
      <c r="H37" s="104">
        <f>I13*D36</f>
        <v>3.693193491099427E-7</v>
      </c>
      <c r="I37" s="77"/>
      <c r="J37" s="77"/>
      <c r="K37" s="77"/>
      <c r="L37" s="77"/>
      <c r="M37" s="77"/>
      <c r="N37" s="83" t="s">
        <v>126</v>
      </c>
      <c r="O37" s="85"/>
      <c r="P37" s="85"/>
      <c r="Q37" s="85"/>
      <c r="R37" s="85"/>
    </row>
    <row r="38" spans="2:20" ht="33" customHeight="1" x14ac:dyDescent="0.2">
      <c r="B38" s="79"/>
      <c r="I38" s="77"/>
      <c r="J38" s="77"/>
      <c r="K38" s="77"/>
      <c r="L38" s="77"/>
      <c r="M38" s="77"/>
      <c r="N38" s="566" t="s">
        <v>127</v>
      </c>
      <c r="O38" s="566" t="s">
        <v>133</v>
      </c>
      <c r="P38" s="566" t="s">
        <v>23</v>
      </c>
      <c r="Q38" s="566" t="s">
        <v>129</v>
      </c>
      <c r="R38" s="411" t="s">
        <v>130</v>
      </c>
    </row>
    <row r="39" spans="2:20" ht="33" customHeight="1" x14ac:dyDescent="0.35">
      <c r="B39" s="79"/>
      <c r="C39" s="83" t="s">
        <v>134</v>
      </c>
      <c r="I39" s="77"/>
      <c r="J39" s="77"/>
      <c r="K39" s="77"/>
      <c r="L39" s="77"/>
      <c r="M39" s="77"/>
      <c r="N39" s="567"/>
      <c r="O39" s="567"/>
      <c r="P39" s="567"/>
      <c r="Q39" s="567"/>
      <c r="R39" s="411" t="s">
        <v>135</v>
      </c>
    </row>
    <row r="40" spans="2:20" ht="33" customHeight="1" thickBot="1" x14ac:dyDescent="0.4">
      <c r="B40" s="79"/>
      <c r="C40" s="83"/>
      <c r="I40" s="77"/>
      <c r="J40" s="77"/>
      <c r="K40" s="77"/>
      <c r="L40" s="77"/>
      <c r="M40" s="77"/>
      <c r="N40" s="572" t="s">
        <v>156</v>
      </c>
      <c r="O40" s="574" t="str">
        <f>INDEX('Health Data'!$AB:$AB,MATCH($C$2,'Health Data'!$B:$B,0))</f>
        <v>Not Quantified</v>
      </c>
      <c r="P40" s="71" t="s">
        <v>103</v>
      </c>
      <c r="Q40" s="597"/>
      <c r="R40" s="107" t="str">
        <f>IFERROR(T10*O40, "")</f>
        <v/>
      </c>
    </row>
    <row r="41" spans="2:20" ht="33" customHeight="1" x14ac:dyDescent="0.25">
      <c r="B41" s="79"/>
      <c r="C41" s="325" t="s">
        <v>136</v>
      </c>
      <c r="I41" s="77"/>
      <c r="J41" s="77"/>
      <c r="K41" s="77"/>
      <c r="L41" s="77"/>
      <c r="M41" s="77"/>
      <c r="N41" s="576"/>
      <c r="O41" s="575"/>
      <c r="P41" s="71" t="s">
        <v>27</v>
      </c>
      <c r="Q41" s="596"/>
      <c r="R41" s="107" t="str">
        <f>IFERROR(T11*O40, "")</f>
        <v/>
      </c>
    </row>
    <row r="42" spans="2:20" ht="33" customHeight="1" thickBot="1" x14ac:dyDescent="0.3">
      <c r="B42" s="79"/>
      <c r="C42" s="326" t="s">
        <v>30</v>
      </c>
      <c r="I42" s="77"/>
      <c r="J42" s="77"/>
      <c r="K42" s="77"/>
      <c r="L42" s="77"/>
      <c r="M42" s="77"/>
    </row>
    <row r="43" spans="2:20" ht="33" customHeight="1" x14ac:dyDescent="0.35">
      <c r="B43" s="79"/>
      <c r="C43" s="317"/>
      <c r="I43" s="77"/>
      <c r="J43" s="77"/>
      <c r="K43" s="77"/>
      <c r="L43" s="77"/>
      <c r="M43" s="77"/>
      <c r="N43" s="83" t="s">
        <v>137</v>
      </c>
    </row>
    <row r="44" spans="2:20" ht="33" customHeight="1" thickBot="1" x14ac:dyDescent="0.25">
      <c r="B44" s="79"/>
      <c r="I44" s="77"/>
      <c r="J44" s="77"/>
      <c r="K44" s="77"/>
      <c r="L44" s="77"/>
      <c r="M44" s="77"/>
    </row>
    <row r="45" spans="2:20" ht="33" customHeight="1" x14ac:dyDescent="0.2">
      <c r="B45" s="548" t="s">
        <v>138</v>
      </c>
      <c r="C45" s="540" t="s">
        <v>107</v>
      </c>
      <c r="D45" s="540" t="s">
        <v>23</v>
      </c>
      <c r="E45" s="540" t="s">
        <v>108</v>
      </c>
      <c r="F45" s="540" t="str">
        <f>_xlfn.CONCAT("Exposure Estimates: ",$C$42," MOE")</f>
        <v>Exposure Estimates: Worker MOE</v>
      </c>
      <c r="G45" s="540"/>
      <c r="H45" s="540"/>
      <c r="I45" s="540"/>
      <c r="J45" s="540"/>
      <c r="K45" s="542"/>
      <c r="L45" s="77"/>
      <c r="M45" s="77"/>
      <c r="N45" s="532" t="s">
        <v>121</v>
      </c>
      <c r="O45" s="540" t="s">
        <v>23</v>
      </c>
      <c r="P45" s="540" t="s">
        <v>108</v>
      </c>
      <c r="Q45" s="540" t="str">
        <f>_xlfn.CONCAT("Exposure Estimates: ",$C$42," MOE")</f>
        <v>Exposure Estimates: Worker MOE</v>
      </c>
      <c r="R45" s="540"/>
      <c r="S45" s="540"/>
      <c r="T45" s="542"/>
    </row>
    <row r="46" spans="2:20" ht="33" customHeight="1" thickBot="1" x14ac:dyDescent="0.25">
      <c r="B46" s="549"/>
      <c r="C46" s="541"/>
      <c r="D46" s="541"/>
      <c r="E46" s="541"/>
      <c r="F46" s="416" t="s">
        <v>139</v>
      </c>
      <c r="G46" s="416" t="s">
        <v>34</v>
      </c>
      <c r="H46" s="416" t="s">
        <v>35</v>
      </c>
      <c r="I46" s="416" t="s">
        <v>32</v>
      </c>
      <c r="J46" s="416" t="s">
        <v>140</v>
      </c>
      <c r="K46" s="290" t="s">
        <v>31</v>
      </c>
      <c r="L46" s="77"/>
      <c r="M46" s="77"/>
      <c r="N46" s="533"/>
      <c r="O46" s="541"/>
      <c r="P46" s="541"/>
      <c r="Q46" s="318" t="s">
        <v>135</v>
      </c>
      <c r="R46" s="318" t="s">
        <v>33</v>
      </c>
      <c r="S46" s="318" t="s">
        <v>141</v>
      </c>
      <c r="T46" s="319" t="s">
        <v>142</v>
      </c>
    </row>
    <row r="47" spans="2:20" ht="33" customHeight="1" x14ac:dyDescent="0.2">
      <c r="B47" s="550" t="s">
        <v>143</v>
      </c>
      <c r="C47" s="555">
        <f>INDEX('Health Data'!$G:$G,MATCH($C$2,'Health Data'!$B:$B,0))</f>
        <v>2.4163399353274051</v>
      </c>
      <c r="D47" s="292" t="s">
        <v>103</v>
      </c>
      <c r="E47" s="421">
        <v>30</v>
      </c>
      <c r="F47" s="304">
        <f>IFERROR($C47/IF($C$42="Worker",$F$10,$F$11), "")</f>
        <v>2220.0123155820534</v>
      </c>
      <c r="G47" s="305">
        <f>IFERROR($F47*'List Values'!$B$9, "")</f>
        <v>22200.123155820533</v>
      </c>
      <c r="H47" s="305">
        <f>IFERROR($F47*'List Values'!$B$10, "")</f>
        <v>55500.307889551332</v>
      </c>
      <c r="I47" s="305">
        <f>IFERROR($F47*'List Values'!$B$11, "")</f>
        <v>111000.61577910266</v>
      </c>
      <c r="J47" s="305">
        <f>IFERROR($F47*'List Values'!$B$12, "")</f>
        <v>2220012.3155820533</v>
      </c>
      <c r="K47" s="306">
        <f>IFERROR($F47*'List Values'!$B$13, "")</f>
        <v>22200123.155820534</v>
      </c>
      <c r="L47" s="77"/>
      <c r="M47" s="77"/>
      <c r="N47" s="534">
        <f>INDEX('Health Data'!$K:$K,MATCH($C$2,'Health Data'!$B:$B,0))</f>
        <v>19.899999999999999</v>
      </c>
      <c r="O47" s="292" t="s">
        <v>103</v>
      </c>
      <c r="P47" s="421">
        <v>30</v>
      </c>
      <c r="Q47" s="305">
        <f>IFERROR($N47/Q$10, "")</f>
        <v>787.22246946546011</v>
      </c>
      <c r="R47" s="305">
        <f>IFERROR($N47/$Q$12, "")</f>
        <v>3936.1123473273005</v>
      </c>
      <c r="S47" s="305">
        <f>IFERROR($N47/$Q$14, "")</f>
        <v>7872.2246946546011</v>
      </c>
      <c r="T47" s="306">
        <f>IFERROR($N47/$Q$16, "")</f>
        <v>15744.449389309202</v>
      </c>
    </row>
    <row r="48" spans="2:20" ht="33" customHeight="1" thickBot="1" x14ac:dyDescent="0.25">
      <c r="B48" s="551"/>
      <c r="C48" s="556"/>
      <c r="D48" s="293" t="s">
        <v>27</v>
      </c>
      <c r="E48" s="418">
        <v>30</v>
      </c>
      <c r="F48" s="303">
        <f>IFERROR($C47/IF($C$42="Worker",$F$12,$F$13), "")</f>
        <v>53015.219476586346</v>
      </c>
      <c r="G48" s="303">
        <f>IFERROR($F48*'List Values'!$B$9, "")</f>
        <v>530152.19476586347</v>
      </c>
      <c r="H48" s="303">
        <f>IFERROR($F48*'List Values'!$B$10, "")</f>
        <v>1325380.4869146587</v>
      </c>
      <c r="I48" s="303">
        <f>IFERROR($F48*'List Values'!$B$11, "")</f>
        <v>2650760.9738293174</v>
      </c>
      <c r="J48" s="303">
        <f>IFERROR($F48*'List Values'!$B$12, "")</f>
        <v>53015219.476586349</v>
      </c>
      <c r="K48" s="307">
        <f>IFERROR($F48*'List Values'!$B$13, "")</f>
        <v>530152194.76586348</v>
      </c>
      <c r="L48" s="77"/>
      <c r="M48" s="77"/>
      <c r="N48" s="535"/>
      <c r="O48" s="293" t="s">
        <v>27</v>
      </c>
      <c r="P48" s="418">
        <v>30</v>
      </c>
      <c r="Q48" s="321">
        <f>IFERROR($N47/$Q$11, "")</f>
        <v>2361.6674083963803</v>
      </c>
      <c r="R48" s="321">
        <f>IFERROR($N47/$Q$13, "")</f>
        <v>11808.337041981902</v>
      </c>
      <c r="S48" s="321">
        <f>IFERROR($N47/$Q$15, "")</f>
        <v>23616.674083963804</v>
      </c>
      <c r="T48" s="322">
        <f>IFERROR($N47/$Q$17, "")</f>
        <v>47233.348167927608</v>
      </c>
    </row>
    <row r="49" spans="2:20" ht="33" customHeight="1" x14ac:dyDescent="0.2">
      <c r="B49" s="552" t="s">
        <v>144</v>
      </c>
      <c r="C49" s="557">
        <v>22</v>
      </c>
      <c r="D49" s="299" t="s">
        <v>103</v>
      </c>
      <c r="E49" s="417">
        <v>30</v>
      </c>
      <c r="F49" s="300">
        <f>IFERROR($C49/IF($C$42="Worker",$G$10,$G$11), "")</f>
        <v>27562.5</v>
      </c>
      <c r="G49" s="301">
        <f>IFERROR($F49*'List Values'!$B$9, "")</f>
        <v>275625</v>
      </c>
      <c r="H49" s="301">
        <f>IFERROR($F49*'List Values'!$B$10, "")</f>
        <v>689062.5</v>
      </c>
      <c r="I49" s="301">
        <f>IFERROR($F49*'List Values'!$B$11, "")</f>
        <v>1378125</v>
      </c>
      <c r="J49" s="301">
        <f>IFERROR($F49*'List Values'!$B$12, "")</f>
        <v>27562500</v>
      </c>
      <c r="K49" s="302">
        <f>IFERROR($F49*'List Values'!$B$13, "")</f>
        <v>275625000</v>
      </c>
      <c r="L49" s="77"/>
      <c r="M49" s="77"/>
      <c r="N49" s="536">
        <f>INDEX('Health Data'!$T:$T,MATCH($C$2,'Health Data'!$B:$B,0))</f>
        <v>6.5</v>
      </c>
      <c r="O49" s="299" t="s">
        <v>103</v>
      </c>
      <c r="P49" s="417">
        <v>30</v>
      </c>
      <c r="Q49" s="301">
        <f>IFERROR($N$49/$R$10, "")</f>
        <v>350.6358646545562</v>
      </c>
      <c r="R49" s="301">
        <f>IFERROR($N$49/$R$12, "")</f>
        <v>1753.1793232727809</v>
      </c>
      <c r="S49" s="301">
        <f>IFERROR($N$49/$R$14, "")</f>
        <v>3506.3586465455619</v>
      </c>
      <c r="T49" s="302">
        <f>IFERROR($N$49/$R$16, "")</f>
        <v>7012.7172930911238</v>
      </c>
    </row>
    <row r="50" spans="2:20" ht="33" customHeight="1" thickBot="1" x14ac:dyDescent="0.25">
      <c r="B50" s="551"/>
      <c r="C50" s="558"/>
      <c r="D50" s="293" t="s">
        <v>27</v>
      </c>
      <c r="E50" s="418">
        <v>30</v>
      </c>
      <c r="F50" s="303">
        <f>IFERROR($C49/IF($C$42="Worker",$G$12,$G$13), "")</f>
        <v>658208.95522388048</v>
      </c>
      <c r="G50" s="303">
        <f>IFERROR($F50*'List Values'!$B$9, "")</f>
        <v>6582089.5522388052</v>
      </c>
      <c r="H50" s="303">
        <f>IFERROR($F50*'List Values'!$B$10, "")</f>
        <v>16455223.880597012</v>
      </c>
      <c r="I50" s="303">
        <f>IFERROR($F50*'List Values'!$B$11, "")</f>
        <v>32910447.761194024</v>
      </c>
      <c r="J50" s="303">
        <f>IFERROR($F50*'List Values'!$B$12, "")</f>
        <v>658208955.22388053</v>
      </c>
      <c r="K50" s="307">
        <f>IFERROR($F50*'List Values'!$B$13, "")</f>
        <v>6582089552.2388048</v>
      </c>
      <c r="L50" s="77"/>
      <c r="M50" s="77"/>
      <c r="N50" s="537"/>
      <c r="O50" s="293" t="s">
        <v>27</v>
      </c>
      <c r="P50" s="418">
        <v>30</v>
      </c>
      <c r="Q50" s="321">
        <f>IFERROR($N$49/$R$11, "")</f>
        <v>1051.9075939636687</v>
      </c>
      <c r="R50" s="321">
        <f>IFERROR($N$49/$R$13, "")</f>
        <v>5259.5379698183442</v>
      </c>
      <c r="S50" s="321">
        <f>IFERROR($N$49/$R$15, "")</f>
        <v>10519.075939636688</v>
      </c>
      <c r="T50" s="322">
        <f>IFERROR($N$49/$R$17, "")</f>
        <v>21038.151879273377</v>
      </c>
    </row>
    <row r="51" spans="2:20" ht="33" customHeight="1" x14ac:dyDescent="0.2">
      <c r="B51" s="553" t="s">
        <v>145</v>
      </c>
      <c r="C51" s="559">
        <f>INDEX('Health Data'!$P:$P,MATCH($C$2,'Health Data'!$B:$B,0))</f>
        <v>5.2378738884397729</v>
      </c>
      <c r="D51" s="292" t="s">
        <v>103</v>
      </c>
      <c r="E51" s="421">
        <v>300</v>
      </c>
      <c r="F51" s="304">
        <f>IFERROR($C51/IF($C$42="Worker",$H$10,$H$11), "")</f>
        <v>7025.9530871058996</v>
      </c>
      <c r="G51" s="305">
        <f>IFERROR($F51*'List Values'!$B$9, "")</f>
        <v>70259.530871058989</v>
      </c>
      <c r="H51" s="305">
        <f>IFERROR($F51*'List Values'!$B$10, "")</f>
        <v>175648.8271776475</v>
      </c>
      <c r="I51" s="305">
        <f>IFERROR($F51*'List Values'!$B$11, "")</f>
        <v>351297.654355295</v>
      </c>
      <c r="J51" s="305">
        <f>IFERROR($F51*'List Values'!$B$12, "")</f>
        <v>7025953.0871059</v>
      </c>
      <c r="K51" s="306">
        <f>IFERROR($F51*'List Values'!$B$13, "")</f>
        <v>70259530.871059</v>
      </c>
      <c r="L51" s="77"/>
      <c r="M51" s="77"/>
      <c r="N51" s="538">
        <f>INDEX('Health Data'!$T:$T,MATCH($C$2,'Health Data'!$B:$B,0))</f>
        <v>6.5</v>
      </c>
      <c r="O51" s="292" t="s">
        <v>103</v>
      </c>
      <c r="P51" s="421">
        <v>300</v>
      </c>
      <c r="Q51" s="305">
        <f>IFERROR($N$51/$S$10, "")</f>
        <v>375.41413242347824</v>
      </c>
      <c r="R51" s="305">
        <f>IFERROR($N$51/$S$12, "")</f>
        <v>1877.0706621173911</v>
      </c>
      <c r="S51" s="305">
        <f>IFERROR($N$51/$S$14, "")</f>
        <v>3754.1413242347821</v>
      </c>
      <c r="T51" s="306">
        <f>IFERROR($N$51/$S$16, "")</f>
        <v>7508.2826484695643</v>
      </c>
    </row>
    <row r="52" spans="2:20" ht="33" customHeight="1" thickBot="1" x14ac:dyDescent="0.25">
      <c r="B52" s="554"/>
      <c r="C52" s="560"/>
      <c r="D52" s="293" t="s">
        <v>27</v>
      </c>
      <c r="E52" s="418">
        <v>300</v>
      </c>
      <c r="F52" s="303">
        <f>IFERROR($C51/IF($C$42="Worker",$H$12,$H$13), "")</f>
        <v>167783.95431894687</v>
      </c>
      <c r="G52" s="303">
        <f>IFERROR($F52*'List Values'!$B$9, "")</f>
        <v>1677839.5431894688</v>
      </c>
      <c r="H52" s="303">
        <f>IFERROR($F52*'List Values'!$B$10, "")</f>
        <v>4194598.8579736715</v>
      </c>
      <c r="I52" s="303">
        <f>IFERROR($F52*'List Values'!$B$11, "")</f>
        <v>8389197.715947343</v>
      </c>
      <c r="J52" s="303">
        <f>IFERROR($F52*'List Values'!$B$12, "")</f>
        <v>167783954.31894687</v>
      </c>
      <c r="K52" s="307">
        <f>IFERROR($F52*'List Values'!$B$13, "")</f>
        <v>1677839543.1894686</v>
      </c>
      <c r="L52" s="77"/>
      <c r="M52" s="77"/>
      <c r="N52" s="539"/>
      <c r="O52" s="320" t="s">
        <v>27</v>
      </c>
      <c r="P52" s="420">
        <v>300</v>
      </c>
      <c r="Q52" s="323">
        <f>IFERROR($N$51/$S$11, "")</f>
        <v>1126.2423972704346</v>
      </c>
      <c r="R52" s="323">
        <f>IFERROR($N$51/$S$13, "")</f>
        <v>5631.211986352173</v>
      </c>
      <c r="S52" s="323">
        <f>IFERROR($N$51/$S$15, "")</f>
        <v>11262.423972704346</v>
      </c>
      <c r="T52" s="324">
        <f>IFERROR($N$51/$S$17, "")</f>
        <v>22524.847945408692</v>
      </c>
    </row>
    <row r="53" spans="2:20" ht="33" customHeight="1" x14ac:dyDescent="0.2">
      <c r="B53" s="294"/>
      <c r="C53" s="547" t="s">
        <v>146</v>
      </c>
      <c r="D53" s="530" t="s">
        <v>23</v>
      </c>
      <c r="E53" s="530" t="s">
        <v>108</v>
      </c>
      <c r="F53" s="530" t="str">
        <f>_xlfn.CONCAT("Exposure Estimates: ",$C$42," MOE")</f>
        <v>Exposure Estimates: Worker MOE</v>
      </c>
      <c r="G53" s="530"/>
      <c r="H53" s="530"/>
      <c r="I53" s="530"/>
      <c r="J53" s="530"/>
      <c r="K53" s="531"/>
      <c r="L53" s="77"/>
      <c r="M53" s="77"/>
      <c r="N53" s="532" t="s">
        <v>147</v>
      </c>
      <c r="O53" s="540" t="s">
        <v>23</v>
      </c>
      <c r="P53" s="540" t="s">
        <v>108</v>
      </c>
      <c r="Q53" s="540" t="str">
        <f>_xlfn.CONCAT("Exposure Estimates: ",$I$4," MOE")</f>
        <v>Exposure Estimates:  MOE</v>
      </c>
      <c r="R53" s="540"/>
      <c r="S53" s="540"/>
      <c r="T53" s="542"/>
    </row>
    <row r="54" spans="2:20" ht="33" customHeight="1" thickBot="1" x14ac:dyDescent="0.25">
      <c r="B54" s="294"/>
      <c r="C54" s="533"/>
      <c r="D54" s="541"/>
      <c r="E54" s="541"/>
      <c r="F54" s="416" t="s">
        <v>139</v>
      </c>
      <c r="G54" s="416" t="s">
        <v>34</v>
      </c>
      <c r="H54" s="416" t="s">
        <v>35</v>
      </c>
      <c r="I54" s="416" t="s">
        <v>32</v>
      </c>
      <c r="J54" s="416" t="s">
        <v>140</v>
      </c>
      <c r="K54" s="290" t="s">
        <v>31</v>
      </c>
      <c r="L54" s="77"/>
      <c r="M54" s="77"/>
      <c r="N54" s="533"/>
      <c r="O54" s="541"/>
      <c r="P54" s="541"/>
      <c r="Q54" s="318" t="s">
        <v>135</v>
      </c>
      <c r="R54" s="318" t="s">
        <v>33</v>
      </c>
      <c r="S54" s="318" t="s">
        <v>141</v>
      </c>
      <c r="T54" s="319" t="s">
        <v>142</v>
      </c>
    </row>
    <row r="55" spans="2:20" ht="33" customHeight="1" thickBot="1" x14ac:dyDescent="0.25">
      <c r="B55" s="545" t="s">
        <v>148</v>
      </c>
      <c r="C55" s="543">
        <f>INDEX('Health Data'!$Y:$Y,MATCH($C$2,'Health Data'!$B:$B,0))</f>
        <v>2.8736850715746418E-2</v>
      </c>
      <c r="D55" s="299" t="s">
        <v>103</v>
      </c>
      <c r="E55" s="107">
        <v>1E-4</v>
      </c>
      <c r="F55" s="308">
        <f>IFERROR($C55*IF($C$42="Worker",$I$10,$I$11), "")</f>
        <v>1.0986373326545968E-5</v>
      </c>
      <c r="G55" s="309">
        <f>IFERROR($F55/'List Values'!$B$9, "")</f>
        <v>1.0986373326545969E-6</v>
      </c>
      <c r="H55" s="309">
        <f>IFERROR($F55/'List Values'!$B$10, "")</f>
        <v>4.3945493306183873E-7</v>
      </c>
      <c r="I55" s="309">
        <f>IFERROR($F55/'List Values'!$B$11, "")</f>
        <v>2.1972746653091937E-7</v>
      </c>
      <c r="J55" s="309">
        <f>IFERROR($F55/'List Values'!$B$12, "")</f>
        <v>1.0986373326545968E-8</v>
      </c>
      <c r="K55" s="310">
        <f>IFERROR($F55/'List Values'!$B$13, "")</f>
        <v>1.0986373326545969E-9</v>
      </c>
      <c r="L55" s="77"/>
      <c r="M55" s="77"/>
      <c r="N55" s="563" t="str">
        <f>INDEX('Health Data'!$AB:$AB,MATCH($C$2,'Health Data'!$B:$B,0))</f>
        <v>Not Quantified</v>
      </c>
      <c r="O55" s="292" t="s">
        <v>103</v>
      </c>
      <c r="P55" s="596"/>
      <c r="Q55" s="305" t="str">
        <f>IFERROR($N$55*$T10, "")</f>
        <v/>
      </c>
      <c r="R55" s="305" t="str">
        <f>IFERROR($N$55*$T12, "")</f>
        <v/>
      </c>
      <c r="S55" s="305" t="str">
        <f>IFERROR($N$55*$T14, "")</f>
        <v/>
      </c>
      <c r="T55" s="306" t="str">
        <f>IFERROR($N$55*$T16, "")</f>
        <v/>
      </c>
    </row>
    <row r="56" spans="2:20" ht="33" customHeight="1" thickBot="1" x14ac:dyDescent="0.25">
      <c r="B56" s="546"/>
      <c r="C56" s="544"/>
      <c r="D56" s="293" t="s">
        <v>27</v>
      </c>
      <c r="E56" s="107">
        <v>1E-4</v>
      </c>
      <c r="F56" s="308">
        <f>IFERROR($C55*IF($C$42="Worker",$I$12,$I$13), "")</f>
        <v>3.5654214686306214E-7</v>
      </c>
      <c r="G56" s="309">
        <f>IFERROR($F56/'List Values'!$B$9, "")</f>
        <v>3.5654214686306214E-8</v>
      </c>
      <c r="H56" s="309">
        <f>IFERROR($F56/'List Values'!$B$10, "")</f>
        <v>1.4261685874522486E-8</v>
      </c>
      <c r="I56" s="309">
        <f>IFERROR($F56/'List Values'!$B$11, "")</f>
        <v>7.1308429372612431E-9</v>
      </c>
      <c r="J56" s="309">
        <f>IFERROR($F56/'List Values'!$B$12, "")</f>
        <v>3.5654214686306213E-10</v>
      </c>
      <c r="K56" s="310">
        <f>IFERROR($F56/'List Values'!$B$13, "")</f>
        <v>3.5654214686306213E-11</v>
      </c>
      <c r="L56" s="77"/>
      <c r="M56" s="77"/>
      <c r="N56" s="564"/>
      <c r="O56" s="293" t="s">
        <v>27</v>
      </c>
      <c r="P56" s="558"/>
      <c r="Q56" s="321" t="str">
        <f>IFERROR($N$55*$T11, "")</f>
        <v/>
      </c>
      <c r="R56" s="321" t="str">
        <f>IFERROR($N$55*$T13, "")</f>
        <v/>
      </c>
      <c r="S56" s="321" t="str">
        <f>IFERROR($N$55*$T15, "")</f>
        <v/>
      </c>
      <c r="T56" s="322" t="str">
        <f>IFERROR($N$55*$T17, "")</f>
        <v/>
      </c>
    </row>
    <row r="57" spans="2:20" ht="33" customHeight="1" x14ac:dyDescent="0.2">
      <c r="B57" s="79"/>
      <c r="I57" s="77"/>
      <c r="J57" s="77"/>
      <c r="K57" s="77"/>
      <c r="L57" s="77"/>
      <c r="M57" s="77"/>
    </row>
    <row r="58" spans="2:20" ht="33" customHeight="1" x14ac:dyDescent="0.2">
      <c r="B58" s="79"/>
      <c r="I58" s="77"/>
      <c r="J58" s="77"/>
      <c r="K58" s="77"/>
      <c r="L58" s="77"/>
      <c r="M58" s="77"/>
    </row>
    <row r="59" spans="2:20" ht="33" customHeight="1" x14ac:dyDescent="0.2">
      <c r="B59" s="79"/>
      <c r="I59" s="77"/>
      <c r="J59" s="77"/>
      <c r="K59" s="77"/>
      <c r="L59" s="77"/>
      <c r="M59" s="77"/>
    </row>
    <row r="60" spans="2:20" ht="33" customHeight="1" x14ac:dyDescent="0.2">
      <c r="B60" s="79"/>
      <c r="I60" s="77"/>
      <c r="J60" s="77"/>
      <c r="K60" s="77"/>
      <c r="L60" s="77"/>
      <c r="M60" s="77"/>
    </row>
    <row r="61" spans="2:20" s="85" customFormat="1" ht="21" x14ac:dyDescent="0.35">
      <c r="C61" s="66"/>
      <c r="D61" s="66"/>
      <c r="E61" s="66"/>
      <c r="F61" s="66"/>
      <c r="G61" s="66"/>
      <c r="H61" s="66"/>
      <c r="N61" s="66"/>
      <c r="O61" s="66"/>
      <c r="P61" s="66"/>
      <c r="Q61" s="66"/>
      <c r="R61" s="66"/>
      <c r="S61" s="66"/>
      <c r="T61" s="66"/>
    </row>
    <row r="62" spans="2:20" ht="25.5" customHeight="1" x14ac:dyDescent="0.2">
      <c r="B62" s="76"/>
      <c r="I62" s="90"/>
      <c r="J62" s="90"/>
      <c r="K62" s="90"/>
      <c r="L62" s="90"/>
      <c r="M62" s="90"/>
    </row>
    <row r="63" spans="2:20" ht="14.45" customHeight="1" x14ac:dyDescent="0.2">
      <c r="B63" s="76"/>
      <c r="I63" s="90"/>
      <c r="J63" s="90"/>
      <c r="K63" s="90"/>
      <c r="L63" s="90"/>
      <c r="M63" s="90"/>
    </row>
    <row r="64" spans="2:20" x14ac:dyDescent="0.2">
      <c r="B64" s="76"/>
      <c r="I64" s="89"/>
      <c r="J64" s="89"/>
      <c r="K64" s="89"/>
      <c r="L64" s="89"/>
      <c r="M64" s="89"/>
    </row>
    <row r="65" spans="2:20" ht="21" x14ac:dyDescent="0.35">
      <c r="B65" s="76"/>
      <c r="I65" s="89"/>
      <c r="J65" s="89"/>
      <c r="K65" s="89"/>
      <c r="L65" s="89"/>
      <c r="M65" s="89"/>
      <c r="S65" s="85"/>
      <c r="T65" s="85"/>
    </row>
    <row r="69" spans="2:20" ht="29.1" customHeight="1" x14ac:dyDescent="0.2"/>
  </sheetData>
  <sheetProtection sheet="1" objects="1" scenarios="1" formatCells="0" formatColumns="0" formatRows="0"/>
  <mergeCells count="93">
    <mergeCell ref="C8:C9"/>
    <mergeCell ref="D8:D9"/>
    <mergeCell ref="N8:N9"/>
    <mergeCell ref="O8:O9"/>
    <mergeCell ref="D10:D11"/>
    <mergeCell ref="N10:N11"/>
    <mergeCell ref="Q20:Q21"/>
    <mergeCell ref="C18:C19"/>
    <mergeCell ref="D18:D19"/>
    <mergeCell ref="D12:D13"/>
    <mergeCell ref="C16:C17"/>
    <mergeCell ref="D16:D17"/>
    <mergeCell ref="E16:E17"/>
    <mergeCell ref="F16:F17"/>
    <mergeCell ref="N12:N13"/>
    <mergeCell ref="N14:N15"/>
    <mergeCell ref="N16:N17"/>
    <mergeCell ref="G16:H16"/>
    <mergeCell ref="N22:N23"/>
    <mergeCell ref="O22:O23"/>
    <mergeCell ref="O26:O27"/>
    <mergeCell ref="O20:O21"/>
    <mergeCell ref="P20:P21"/>
    <mergeCell ref="P26:P27"/>
    <mergeCell ref="N20:N21"/>
    <mergeCell ref="C22:C23"/>
    <mergeCell ref="D22:D23"/>
    <mergeCell ref="E22:E23"/>
    <mergeCell ref="F22:F23"/>
    <mergeCell ref="G22:H22"/>
    <mergeCell ref="Q26:Q27"/>
    <mergeCell ref="C24:C25"/>
    <mergeCell ref="D24:D25"/>
    <mergeCell ref="O32:O33"/>
    <mergeCell ref="P32:P33"/>
    <mergeCell ref="Q32:Q33"/>
    <mergeCell ref="C30:C31"/>
    <mergeCell ref="D30:D31"/>
    <mergeCell ref="N32:N33"/>
    <mergeCell ref="O28:O29"/>
    <mergeCell ref="N26:N27"/>
    <mergeCell ref="O40:O41"/>
    <mergeCell ref="Q40:Q41"/>
    <mergeCell ref="C34:C35"/>
    <mergeCell ref="D34:D35"/>
    <mergeCell ref="E34:E35"/>
    <mergeCell ref="F34:F35"/>
    <mergeCell ref="G34:H34"/>
    <mergeCell ref="N38:N39"/>
    <mergeCell ref="N34:N35"/>
    <mergeCell ref="O34:O35"/>
    <mergeCell ref="O38:O39"/>
    <mergeCell ref="P38:P39"/>
    <mergeCell ref="Q38:Q39"/>
    <mergeCell ref="C36:C37"/>
    <mergeCell ref="D36:D37"/>
    <mergeCell ref="B45:B46"/>
    <mergeCell ref="C45:C46"/>
    <mergeCell ref="D45:D46"/>
    <mergeCell ref="E45:E46"/>
    <mergeCell ref="F45:K45"/>
    <mergeCell ref="B55:B56"/>
    <mergeCell ref="C55:C56"/>
    <mergeCell ref="B47:B48"/>
    <mergeCell ref="C47:C48"/>
    <mergeCell ref="B49:B50"/>
    <mergeCell ref="C49:C50"/>
    <mergeCell ref="B51:B52"/>
    <mergeCell ref="C51:C52"/>
    <mergeCell ref="C53:C54"/>
    <mergeCell ref="D53:D54"/>
    <mergeCell ref="E53:E54"/>
    <mergeCell ref="F53:K53"/>
    <mergeCell ref="N40:N41"/>
    <mergeCell ref="C28:C29"/>
    <mergeCell ref="D28:D29"/>
    <mergeCell ref="E28:E29"/>
    <mergeCell ref="F28:F29"/>
    <mergeCell ref="G28:H28"/>
    <mergeCell ref="N28:N29"/>
    <mergeCell ref="N45:N46"/>
    <mergeCell ref="N51:N52"/>
    <mergeCell ref="N53:N54"/>
    <mergeCell ref="O45:O46"/>
    <mergeCell ref="P45:P46"/>
    <mergeCell ref="Q45:T45"/>
    <mergeCell ref="N47:N48"/>
    <mergeCell ref="N49:N50"/>
    <mergeCell ref="Q53:T53"/>
    <mergeCell ref="N55:N56"/>
    <mergeCell ref="P55:P56"/>
    <mergeCell ref="O53:O54"/>
    <mergeCell ref="P53:P54"/>
  </mergeCells>
  <conditionalFormatting sqref="E10:M13">
    <cfRule type="cellIs" dxfId="1261" priority="125" operator="equal">
      <formula>0</formula>
    </cfRule>
    <cfRule type="cellIs" dxfId="1260" priority="126" operator="lessThan">
      <formula>0.1</formula>
    </cfRule>
    <cfRule type="cellIs" dxfId="1259" priority="127" operator="between">
      <formula>0.1</formula>
      <formula>0.999</formula>
    </cfRule>
    <cfRule type="cellIs" dxfId="1258" priority="128" operator="between">
      <formula>1</formula>
      <formula>10</formula>
    </cfRule>
    <cfRule type="cellIs" dxfId="1257" priority="129" operator="greaterThan">
      <formula>10</formula>
    </cfRule>
    <cfRule type="cellIs" dxfId="1256" priority="130" operator="greaterThan">
      <formula>10000</formula>
    </cfRule>
    <cfRule type="containsBlanks" dxfId="1255" priority="124" stopIfTrue="1">
      <formula>LEN(TRIM(E10))=0</formula>
    </cfRule>
    <cfRule type="cellIs" dxfId="1254" priority="123" operator="lessThanOrEqual">
      <formula>0.1</formula>
    </cfRule>
    <cfRule type="cellIs" dxfId="1253" priority="122" operator="between">
      <formula>0.1</formula>
      <formula>0.999</formula>
    </cfRule>
    <cfRule type="cellIs" dxfId="1252" priority="121" operator="between">
      <formula>1</formula>
      <formula>9.999</formula>
    </cfRule>
    <cfRule type="cellIs" dxfId="1251" priority="120" operator="greaterThanOrEqual">
      <formula>10</formula>
    </cfRule>
    <cfRule type="cellIs" dxfId="1250" priority="119" operator="greaterThanOrEqual">
      <formula>10000</formula>
    </cfRule>
  </conditionalFormatting>
  <conditionalFormatting sqref="F47:K48">
    <cfRule type="cellIs" dxfId="1249" priority="106" operator="lessThan">
      <formula>$E$47</formula>
    </cfRule>
    <cfRule type="cellIs" dxfId="1248" priority="105" operator="greaterThanOrEqual">
      <formula>$E$47</formula>
    </cfRule>
  </conditionalFormatting>
  <conditionalFormatting sqref="F47:K52">
    <cfRule type="containsBlanks" dxfId="1247" priority="88" stopIfTrue="1">
      <formula>LEN(TRIM(F47))=0</formula>
    </cfRule>
    <cfRule type="cellIs" dxfId="1246" priority="87" operator="lessThanOrEqual">
      <formula>0.1</formula>
    </cfRule>
    <cfRule type="cellIs" dxfId="1245" priority="86" operator="between">
      <formula>0.1</formula>
      <formula>0.999</formula>
    </cfRule>
    <cfRule type="cellIs" dxfId="1244" priority="85" operator="between">
      <formula>1</formula>
      <formula>9.999</formula>
    </cfRule>
    <cfRule type="cellIs" dxfId="1243" priority="83" operator="greaterThanOrEqual">
      <formula>10000</formula>
    </cfRule>
    <cfRule type="cellIs" dxfId="1242" priority="84" operator="greaterThanOrEqual">
      <formula>10</formula>
    </cfRule>
  </conditionalFormatting>
  <conditionalFormatting sqref="F49:K50">
    <cfRule type="cellIs" dxfId="1241" priority="97" operator="greaterThanOrEqual">
      <formula>$E$49</formula>
    </cfRule>
    <cfRule type="cellIs" dxfId="1240" priority="98" operator="lessThan">
      <formula>$E$49</formula>
    </cfRule>
  </conditionalFormatting>
  <conditionalFormatting sqref="F51:K52">
    <cfRule type="cellIs" dxfId="1239" priority="90" operator="lessThan">
      <formula>$E$51</formula>
    </cfRule>
    <cfRule type="cellIs" dxfId="1238" priority="89" operator="greaterThanOrEqual">
      <formula>$E$51</formula>
    </cfRule>
  </conditionalFormatting>
  <conditionalFormatting sqref="F55:K55">
    <cfRule type="containsBlanks" dxfId="1237" priority="79" stopIfTrue="1">
      <formula>LEN(TRIM(F55))=0</formula>
    </cfRule>
    <cfRule type="cellIs" dxfId="1236" priority="80" operator="greaterThanOrEqual">
      <formula>0.0001</formula>
    </cfRule>
  </conditionalFormatting>
  <conditionalFormatting sqref="F55:K56">
    <cfRule type="cellIs" dxfId="1235" priority="74" operator="greaterThanOrEqual">
      <formula>10000</formula>
    </cfRule>
    <cfRule type="cellIs" dxfId="1234" priority="2" operator="between">
      <formula>0.1</formula>
      <formula>0.999</formula>
    </cfRule>
    <cfRule type="cellIs" dxfId="1233" priority="75" operator="greaterThanOrEqual">
      <formula>10</formula>
    </cfRule>
    <cfRule type="cellIs" dxfId="1232" priority="1" operator="between">
      <formula>1</formula>
      <formula>9.999</formula>
    </cfRule>
  </conditionalFormatting>
  <conditionalFormatting sqref="F56:K56">
    <cfRule type="cellIs" dxfId="1231" priority="4" operator="greaterThanOrEqual">
      <formula>0.0001</formula>
    </cfRule>
    <cfRule type="containsBlanks" dxfId="1230" priority="3" stopIfTrue="1">
      <formula>LEN(TRIM(F56))=0</formula>
    </cfRule>
    <cfRule type="cellIs" dxfId="1229" priority="78" operator="lessThanOrEqual">
      <formula>0.1</formula>
    </cfRule>
  </conditionalFormatting>
  <conditionalFormatting sqref="G18:H19 G24:H25 G30:H31">
    <cfRule type="cellIs" dxfId="1228" priority="147" operator="greaterThanOrEqual">
      <formula>10000</formula>
    </cfRule>
    <cfRule type="cellIs" dxfId="1227" priority="148" operator="greaterThanOrEqual">
      <formula>10</formula>
    </cfRule>
    <cfRule type="cellIs" dxfId="1226" priority="149" operator="between">
      <formula>1</formula>
      <formula>9.999</formula>
    </cfRule>
    <cfRule type="cellIs" dxfId="1225" priority="150" operator="between">
      <formula>0.1</formula>
      <formula>0.999</formula>
    </cfRule>
    <cfRule type="cellIs" dxfId="1224" priority="151" operator="lessThanOrEqual">
      <formula>0.1</formula>
    </cfRule>
    <cfRule type="containsBlanks" dxfId="1223" priority="152" stopIfTrue="1">
      <formula>LEN(TRIM(G18))=0</formula>
    </cfRule>
    <cfRule type="cellIs" dxfId="1222" priority="153" operator="lessThan">
      <formula>$F18</formula>
    </cfRule>
  </conditionalFormatting>
  <conditionalFormatting sqref="G36:H37">
    <cfRule type="cellIs" dxfId="1221" priority="144" operator="equal">
      <formula>0</formula>
    </cfRule>
    <cfRule type="containsBlanks" dxfId="1220" priority="143" stopIfTrue="1">
      <formula>LEN(TRIM(G36))=0</formula>
    </cfRule>
    <cfRule type="cellIs" dxfId="1219" priority="142" operator="lessThanOrEqual">
      <formula>0.1</formula>
    </cfRule>
    <cfRule type="cellIs" dxfId="1218" priority="140" operator="between">
      <formula>1</formula>
      <formula>9.999</formula>
    </cfRule>
    <cfRule type="cellIs" dxfId="1217" priority="139" operator="greaterThanOrEqual">
      <formula>10</formula>
    </cfRule>
    <cfRule type="cellIs" dxfId="1216" priority="141" operator="between">
      <formula>0.1</formula>
      <formula>0.999</formula>
    </cfRule>
    <cfRule type="cellIs" dxfId="1215" priority="138" operator="greaterThanOrEqual">
      <formula>10000</formula>
    </cfRule>
    <cfRule type="cellIs" dxfId="1214" priority="145" operator="greaterThan">
      <formula>0.0001</formula>
    </cfRule>
  </conditionalFormatting>
  <conditionalFormatting sqref="P10:T17">
    <cfRule type="cellIs" dxfId="1213" priority="66" operator="lessThanOrEqual">
      <formula>0.1</formula>
    </cfRule>
    <cfRule type="cellIs" dxfId="1212" priority="65" operator="between">
      <formula>0.1</formula>
      <formula>0.999</formula>
    </cfRule>
    <cfRule type="cellIs" dxfId="1211" priority="64" operator="between">
      <formula>1</formula>
      <formula>9.999</formula>
    </cfRule>
    <cfRule type="cellIs" dxfId="1210" priority="63" operator="greaterThanOrEqual">
      <formula>10</formula>
    </cfRule>
    <cfRule type="cellIs" dxfId="1209" priority="68" operator="equal">
      <formula>0</formula>
    </cfRule>
    <cfRule type="cellIs" dxfId="1208" priority="62" operator="greaterThanOrEqual">
      <formula>10000</formula>
    </cfRule>
    <cfRule type="cellIs" dxfId="1207" priority="72" operator="greaterThan">
      <formula>10</formula>
    </cfRule>
    <cfRule type="cellIs" dxfId="1206" priority="71" operator="between">
      <formula>1</formula>
      <formula>10</formula>
    </cfRule>
    <cfRule type="cellIs" dxfId="1205" priority="70" operator="between">
      <formula>0.1</formula>
      <formula>0.999</formula>
    </cfRule>
    <cfRule type="cellIs" dxfId="1204" priority="69" operator="lessThan">
      <formula>0.1</formula>
    </cfRule>
    <cfRule type="containsBlanks" dxfId="1203" priority="67" stopIfTrue="1">
      <formula>LEN(TRIM(P10))=0</formula>
    </cfRule>
    <cfRule type="cellIs" dxfId="1202" priority="73" operator="greaterThan">
      <formula>10000</formula>
    </cfRule>
  </conditionalFormatting>
  <conditionalFormatting sqref="Q47:T47">
    <cfRule type="cellIs" dxfId="1201" priority="61" operator="lessThan">
      <formula>$P$47</formula>
    </cfRule>
    <cfRule type="cellIs" dxfId="1200" priority="60" operator="greaterThanOrEqual">
      <formula>$P$47</formula>
    </cfRule>
  </conditionalFormatting>
  <conditionalFormatting sqref="Q47:T52">
    <cfRule type="cellIs" dxfId="1199" priority="14" operator="between">
      <formula>1</formula>
      <formula>9.999</formula>
    </cfRule>
    <cfRule type="cellIs" dxfId="1198" priority="15" operator="between">
      <formula>0.1</formula>
      <formula>0.999</formula>
    </cfRule>
    <cfRule type="containsBlanks" dxfId="1197" priority="16" stopIfTrue="1">
      <formula>LEN(TRIM(Q47))=0</formula>
    </cfRule>
    <cfRule type="cellIs" dxfId="1196" priority="17" operator="greaterThanOrEqual">
      <formula>10000</formula>
    </cfRule>
    <cfRule type="cellIs" dxfId="1195" priority="18" operator="greaterThanOrEqual">
      <formula>10</formula>
    </cfRule>
    <cfRule type="cellIs" dxfId="1194" priority="19" operator="lessThanOrEqual">
      <formula>0.1</formula>
    </cfRule>
  </conditionalFormatting>
  <conditionalFormatting sqref="Q48:T48">
    <cfRule type="cellIs" dxfId="1193" priority="53" operator="lessThan">
      <formula>$P$48</formula>
    </cfRule>
    <cfRule type="cellIs" dxfId="1192" priority="52" operator="greaterThanOrEqual">
      <formula>$P$48</formula>
    </cfRule>
  </conditionalFormatting>
  <conditionalFormatting sqref="Q49:T49">
    <cfRule type="cellIs" dxfId="1191" priority="45" operator="lessThan">
      <formula>$P$49</formula>
    </cfRule>
    <cfRule type="cellIs" dxfId="1190" priority="44" operator="greaterThanOrEqual">
      <formula>$P$49</formula>
    </cfRule>
  </conditionalFormatting>
  <conditionalFormatting sqref="Q50:T50">
    <cfRule type="cellIs" dxfId="1189" priority="36" operator="greaterThanOrEqual">
      <formula>$P$48</formula>
    </cfRule>
    <cfRule type="cellIs" dxfId="1188" priority="37" operator="lessThan">
      <formula>$P$48</formula>
    </cfRule>
  </conditionalFormatting>
  <conditionalFormatting sqref="Q51:T51">
    <cfRule type="cellIs" dxfId="1187" priority="29" operator="lessThan">
      <formula>$P$49</formula>
    </cfRule>
    <cfRule type="cellIs" dxfId="1186" priority="28" operator="greaterThanOrEqual">
      <formula>$P$49</formula>
    </cfRule>
  </conditionalFormatting>
  <conditionalFormatting sqref="Q52:T52">
    <cfRule type="cellIs" dxfId="1185" priority="20" operator="greaterThanOrEqual">
      <formula>$P$51</formula>
    </cfRule>
    <cfRule type="cellIs" dxfId="1184" priority="21" operator="lessThan">
      <formula>$P$51</formula>
    </cfRule>
  </conditionalFormatting>
  <conditionalFormatting sqref="Q55:T56">
    <cfRule type="cellIs" dxfId="1183" priority="13" operator="between">
      <formula>0.000001</formula>
      <formula>0.00001</formula>
    </cfRule>
    <cfRule type="cellIs" dxfId="1182" priority="12" operator="between">
      <formula>0.00001</formula>
      <formula>0.0001</formula>
    </cfRule>
    <cfRule type="cellIs" dxfId="1181" priority="11" operator="greaterThanOrEqual">
      <formula>0.0001</formula>
    </cfRule>
    <cfRule type="containsBlanks" dxfId="1180" priority="10" stopIfTrue="1">
      <formula>LEN(TRIM(Q55))=0</formula>
    </cfRule>
    <cfRule type="cellIs" dxfId="1179" priority="9" operator="lessThanOrEqual">
      <formula>0.1</formula>
    </cfRule>
    <cfRule type="cellIs" dxfId="1178" priority="8" operator="between">
      <formula>1</formula>
      <formula>100</formula>
    </cfRule>
    <cfRule type="cellIs" dxfId="1177" priority="7" operator="greaterThan">
      <formula>100</formula>
    </cfRule>
  </conditionalFormatting>
  <conditionalFormatting sqref="R22:R23 R28:R29 R34:R35">
    <cfRule type="cellIs" dxfId="1176" priority="135" operator="lessThanOrEqual">
      <formula>0.1</formula>
    </cfRule>
    <cfRule type="containsBlanks" dxfId="1175" priority="136" stopIfTrue="1">
      <formula>LEN(TRIM(R22))=0</formula>
    </cfRule>
    <cfRule type="cellIs" dxfId="1174" priority="137" operator="lessThan">
      <formula>$Q22</formula>
    </cfRule>
    <cfRule type="cellIs" dxfId="1173" priority="131" operator="greaterThanOrEqual">
      <formula>10000</formula>
    </cfRule>
    <cfRule type="cellIs" dxfId="1172" priority="132" operator="greaterThanOrEqual">
      <formula>10</formula>
    </cfRule>
    <cfRule type="cellIs" dxfId="1171" priority="133" operator="between">
      <formula>1</formula>
      <formula>9.999</formula>
    </cfRule>
    <cfRule type="cellIs" dxfId="1170" priority="134" operator="between">
      <formula>0.1</formula>
      <formula>0.999</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799455C-B69B-42DC-AAA5-3805DAE8F03C}">
          <x14:formula1>
            <xm:f>'List Values'!$B$4:$B$5</xm:f>
          </x14:formula1>
          <xm:sqref>C42:C43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05B6-148C-43AC-B0A0-A7C3F57D4E4E}">
  <sheetPr codeName="Sheet32"/>
  <dimension ref="B1:U69"/>
  <sheetViews>
    <sheetView zoomScale="80" zoomScaleNormal="80" workbookViewId="0">
      <selection activeCell="S9" sqref="S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8" width="15.85546875" style="66" customWidth="1"/>
    <col min="9" max="9" width="12.85546875" style="66" customWidth="1"/>
    <col min="10" max="10" width="12.42578125" style="66" customWidth="1"/>
    <col min="11" max="11" width="28.42578125" style="66" customWidth="1"/>
    <col min="12" max="15" width="14.85546875" style="66" customWidth="1"/>
    <col min="16" max="17" width="13.5703125" style="66" customWidth="1"/>
    <col min="18" max="16384" width="8.7109375" style="66"/>
  </cols>
  <sheetData>
    <row r="1" spans="2:21" ht="21" x14ac:dyDescent="0.35">
      <c r="C1" s="83" t="s">
        <v>1</v>
      </c>
    </row>
    <row r="2" spans="2:21" ht="21" x14ac:dyDescent="0.35">
      <c r="C2" s="83" t="s">
        <v>471</v>
      </c>
      <c r="J2" s="68"/>
      <c r="Q2" s="67"/>
    </row>
    <row r="3" spans="2:21" ht="15.75" x14ac:dyDescent="0.25">
      <c r="C3" s="67"/>
      <c r="J3" s="68"/>
      <c r="Q3" s="67"/>
    </row>
    <row r="4" spans="2:21" ht="21" x14ac:dyDescent="0.35">
      <c r="C4" s="84" t="s">
        <v>83</v>
      </c>
      <c r="D4" s="85"/>
      <c r="E4" s="85"/>
      <c r="F4" s="85"/>
      <c r="G4" s="85"/>
      <c r="H4" s="85"/>
      <c r="I4" s="85"/>
      <c r="J4" s="85"/>
      <c r="K4" s="85"/>
      <c r="M4" s="84" t="s">
        <v>29</v>
      </c>
      <c r="S4" s="67"/>
    </row>
    <row r="5" spans="2:21" ht="21" x14ac:dyDescent="0.35">
      <c r="C5" s="85"/>
      <c r="D5" s="85"/>
      <c r="E5" s="85"/>
      <c r="F5" s="85"/>
      <c r="G5" s="85"/>
      <c r="H5" s="85"/>
      <c r="I5" s="85"/>
      <c r="J5" s="85"/>
      <c r="K5" s="85"/>
      <c r="M5" s="83"/>
      <c r="S5" s="67"/>
    </row>
    <row r="6" spans="2:21" ht="21" x14ac:dyDescent="0.35">
      <c r="C6" s="83" t="s">
        <v>84</v>
      </c>
      <c r="D6" s="85"/>
      <c r="E6" s="85"/>
      <c r="F6" s="85"/>
      <c r="G6" s="85"/>
      <c r="H6" s="85"/>
      <c r="I6" s="85"/>
      <c r="J6" s="85"/>
      <c r="K6" s="85"/>
      <c r="M6" s="83" t="s">
        <v>84</v>
      </c>
      <c r="S6" s="67"/>
    </row>
    <row r="7" spans="2:21" ht="15.75" x14ac:dyDescent="0.25">
      <c r="C7" s="67"/>
      <c r="L7" s="68"/>
      <c r="S7" s="67"/>
    </row>
    <row r="8" spans="2:21" ht="63.75" x14ac:dyDescent="0.25">
      <c r="C8" s="592" t="s">
        <v>85</v>
      </c>
      <c r="D8" s="593" t="s">
        <v>23</v>
      </c>
      <c r="E8" s="411" t="s">
        <v>86</v>
      </c>
      <c r="F8" s="411" t="s">
        <v>87</v>
      </c>
      <c r="G8" s="411" t="s">
        <v>88</v>
      </c>
      <c r="H8" s="411" t="s">
        <v>89</v>
      </c>
      <c r="I8" s="411" t="s">
        <v>90</v>
      </c>
      <c r="J8" s="291"/>
      <c r="K8" s="291"/>
      <c r="L8" s="1"/>
      <c r="M8" s="592" t="s">
        <v>85</v>
      </c>
      <c r="N8" s="592" t="s">
        <v>23</v>
      </c>
      <c r="O8" s="411" t="s">
        <v>91</v>
      </c>
      <c r="P8" s="411" t="s">
        <v>92</v>
      </c>
      <c r="Q8" s="411" t="s">
        <v>93</v>
      </c>
      <c r="R8" s="411" t="s">
        <v>94</v>
      </c>
      <c r="S8" s="411" t="s">
        <v>95</v>
      </c>
      <c r="U8" s="67"/>
    </row>
    <row r="9" spans="2:21" ht="54" x14ac:dyDescent="0.25">
      <c r="C9" s="592"/>
      <c r="D9" s="593"/>
      <c r="E9" s="411" t="s">
        <v>150</v>
      </c>
      <c r="F9" s="411" t="s">
        <v>151</v>
      </c>
      <c r="G9" s="411" t="s">
        <v>152</v>
      </c>
      <c r="H9" s="411" t="s">
        <v>152</v>
      </c>
      <c r="I9" s="411" t="s">
        <v>153</v>
      </c>
      <c r="J9" s="291"/>
      <c r="K9" s="291"/>
      <c r="L9" s="1"/>
      <c r="M9" s="592"/>
      <c r="N9" s="592"/>
      <c r="O9" s="411" t="s">
        <v>100</v>
      </c>
      <c r="P9" s="411" t="s">
        <v>154</v>
      </c>
      <c r="Q9" s="411" t="s">
        <v>503</v>
      </c>
      <c r="R9" s="411" t="s">
        <v>155</v>
      </c>
      <c r="S9" s="411" t="s">
        <v>504</v>
      </c>
      <c r="U9" s="67"/>
    </row>
    <row r="10" spans="2:21" ht="15.75" x14ac:dyDescent="0.25">
      <c r="C10" s="88" t="s">
        <v>30</v>
      </c>
      <c r="D10" s="594" t="s">
        <v>103</v>
      </c>
      <c r="E10" s="316">
        <f>INDEX('Inhalation Exposures'!$I$7:$I$74, MATCH('1,1-DCA_test order_LBT'!$C$2, 'Inhalation Exposures'!$A$7:$A$74, 0))</f>
        <v>3.3E-3</v>
      </c>
      <c r="F10" s="316">
        <f>INDEX('Inhalation Exposures'!K$7:$K$74, MATCH('1,1-DCA_test order_LBT'!$C$2, 'Inhalation Exposures'!$A$7:$A$74, 0))</f>
        <v>2.2448979591836735E-3</v>
      </c>
      <c r="G10" s="316">
        <f>INDEX('Inhalation Exposures'!$M7:$M74, MATCH('1,1-DCA_test order_LBT'!$C$2, 'Inhalation Exposures'!$A$7:$A$74, 0))</f>
        <v>1.6462585034013606E-3</v>
      </c>
      <c r="H10" s="316">
        <f>INDEX('Inhalation Exposures'!$O$7:$O$74, MATCH('1,1-DCA_test order_LBT'!$C$2, 'Inhalation Exposures'!$A$7:$A$74, 0))</f>
        <v>1.5376013419066258E-3</v>
      </c>
      <c r="I10" s="316">
        <f>INDEX('Inhalation Exposures'!$Q$7:$Q$74, MATCH('1,1-DCA_test order_LBT'!$C$2, 'Inhalation Exposures'!$A$7:$A$74, 0))</f>
        <v>7.8851350867006453E-4</v>
      </c>
      <c r="J10" s="329"/>
      <c r="K10" s="329"/>
      <c r="L10" s="1"/>
      <c r="M10" s="595" t="s">
        <v>104</v>
      </c>
      <c r="N10" s="412" t="s">
        <v>103</v>
      </c>
      <c r="O10" s="316">
        <f>INDEX('Dermal Exposures'!$J$5:$J$34, MATCH('1,1-DCA_test order_LBT'!$C$2, 'Dermal Exposures'!$A$5:$A$34, 0))</f>
        <v>1.9616309999999998E-2</v>
      </c>
      <c r="P10" s="316">
        <f>INDEX('Dermal Exposures'!$K$5:$K$34, MATCH('1,1-DCA_test order_LBT'!$C$2, 'Dermal Exposures'!$A$5:$A$34, 0))</f>
        <v>2.4520387499999996E-4</v>
      </c>
      <c r="Q10" s="316">
        <f>INDEX('Dermal Exposures'!$L$5:$L$34, MATCH('1,1-DCA_test order_LBT'!$C$2, 'Dermal Exposures'!$A$5:$A$34, 0))</f>
        <v>1.7981617499999997E-4</v>
      </c>
      <c r="R10" s="316">
        <f>INDEX('Dermal Exposures'!$M$5:$M$34, MATCH('1,1-DCA_test order_LBT'!$C$2, 'Dermal Exposures'!$A$5:$A$34, 0))</f>
        <v>1.6794785958904108E-4</v>
      </c>
      <c r="S10" s="316">
        <f>INDEX('Dermal Exposures'!$N$5:$N$34, MATCH('1,1-DCA_test order_LBT'!$C$2, 'Dermal Exposures'!$A$5:$A$34, 0))</f>
        <v>8.6127107481559525E-5</v>
      </c>
      <c r="U10" s="67"/>
    </row>
    <row r="11" spans="2:21" ht="15.75" x14ac:dyDescent="0.25">
      <c r="C11" s="88" t="s">
        <v>28</v>
      </c>
      <c r="D11" s="594"/>
      <c r="E11" s="316">
        <f>INDEX('Inhalation Exposures'!$I$20:$I$81, MATCH('1,1-DCA_test order_LBT'!$C$2, 'Inhalation Exposures'!$A$20:$A$81, 0))</f>
        <v>4.5661979166666672E-3</v>
      </c>
      <c r="F11" s="316">
        <f>INDEX('Inhalation Exposures'!$K$20:$K$81, MATCH('1,1-DCA_test order_LBT'!$C$2, 'Inhalation Exposures'!$A$20:$A$81, 0))</f>
        <v>3.106257086167801E-3</v>
      </c>
      <c r="G11" s="316">
        <f>INDEX('Inhalation Exposures'!$M$20:$M$81, MATCH('1,1-DCA_test order_LBT'!$C$2, 'Inhalation Exposures'!$A$20:$A$81, 0))</f>
        <v>2.2779218631897207E-3</v>
      </c>
      <c r="H11" s="316">
        <f>INDEX('Inhalation Exposures'!$O$20:$O$81, MATCH('1,1-DCA_test order_LBT'!$C$2, 'Inhalation Exposures'!$A$20:$A$81, 0))</f>
        <v>2.1275733466902744E-3</v>
      </c>
      <c r="I11" s="316">
        <f>INDEX('Inhalation Exposures'!$Q$20:$Q$81, MATCH('1,1-DCA_test order_LBT'!$C$2, 'Inhalation Exposures'!$A$20:$A$81, 0))</f>
        <v>1.0910632547129612E-3</v>
      </c>
      <c r="J11" s="329"/>
      <c r="K11" s="329"/>
      <c r="L11" s="1"/>
      <c r="M11" s="595"/>
      <c r="N11" s="412" t="s">
        <v>27</v>
      </c>
      <c r="O11" s="316">
        <f>INDEX('Dermal Exposures'!$O$5:$O$34, MATCH('1,1-DCA_test order_LBT'!$C$2, 'Dermal Exposures'!$A$5:$A$34, 0))</f>
        <v>6.5387699999999993E-3</v>
      </c>
      <c r="P11" s="316">
        <f>INDEX('Dermal Exposures'!$P$5:$P$34, MATCH('1,1-DCA_test order_LBT'!$C$2, 'Dermal Exposures'!$A$5:$A$34, 0))</f>
        <v>8.1734624999999997E-5</v>
      </c>
      <c r="Q11" s="316">
        <f>INDEX('Dermal Exposures'!$Q$5:$Q$34, MATCH('1,1-DCA_test order_LBT'!$C$2, 'Dermal Exposures'!$A$5:$A$34, 0))</f>
        <v>5.9938724999999998E-5</v>
      </c>
      <c r="R11" s="316">
        <f>INDEX('Dermal Exposures'!$R$5:$R$34, MATCH('1,1-DCA_test order_LBT'!$C$2, 'Dermal Exposures'!$A$5:$A$34, 0))</f>
        <v>5.5982619863013688E-5</v>
      </c>
      <c r="S11" s="316">
        <f>INDEX('Dermal Exposures'!$S$5:$S$34, MATCH('1,1-DCA_test order_LBT'!$C$2, 'Dermal Exposures'!$A$5:$A$34, 0))</f>
        <v>2.2249502766069543E-5</v>
      </c>
      <c r="U11" s="67"/>
    </row>
    <row r="12" spans="2:21" ht="15.75" x14ac:dyDescent="0.25">
      <c r="C12" s="88" t="s">
        <v>30</v>
      </c>
      <c r="D12" s="591" t="s">
        <v>27</v>
      </c>
      <c r="E12" s="316">
        <f>INDEX('Inhalation Exposures'!$J$7:$J$74, MATCH('1,1-DCA_test order_LBT'!$C$2, 'Inhalation Exposures'!$A$7:$A$74, 0))</f>
        <v>1.6000000000000001E-4</v>
      </c>
      <c r="F12" s="316">
        <f>INDEX('Inhalation Exposures'!L$7:$L$74, MATCH('1,1-DCA_test order_LBT'!$C$2, 'Inhalation Exposures'!$A$7:$A$74, 0))</f>
        <v>1.08843537414966E-4</v>
      </c>
      <c r="G12" s="316">
        <f>INDEX('Inhalation Exposures'!$N$7:$N$74, MATCH('1,1-DCA_test order_LBT'!$C$2, 'Inhalation Exposures'!$A$7:$A$74, 0))</f>
        <v>7.9818594104308393E-5</v>
      </c>
      <c r="H12" s="316">
        <f>INDEX('Inhalation Exposures'!$P$7:$P$74, MATCH('1,1-DCA_test order_LBT'!$C$2, 'Inhalation Exposures'!$A$7:$A$74, 0))</f>
        <v>7.4550368092442455E-5</v>
      </c>
      <c r="I12" s="316">
        <f>INDEX('Inhalation Exposures'!$R$7:$R$74, MATCH('1,1-DCA_test order_LBT'!$C$2, 'Inhalation Exposures'!$A$7:$A$74, 0))</f>
        <v>2.9628992446996361E-5</v>
      </c>
      <c r="J12" s="329"/>
      <c r="K12" s="329"/>
      <c r="L12" s="1"/>
      <c r="M12" s="68"/>
      <c r="T12" s="67"/>
    </row>
    <row r="13" spans="2:21" ht="15.75" x14ac:dyDescent="0.25">
      <c r="C13" s="88" t="s">
        <v>28</v>
      </c>
      <c r="D13" s="591"/>
      <c r="E13" s="316">
        <f>INDEX('Inhalation Exposures'!$J$20:$J$81, MATCH('1,1-DCA_test order_LBT'!$C$2, 'Inhalation Exposures'!$A$20:$A$81, 0))</f>
        <v>6.9401041666666667E-5</v>
      </c>
      <c r="F13" s="316">
        <f>INDEX('Inhalation Exposures'!$L$20:$L$81, MATCH('1,1-DCA_test order_LBT'!$C$2, 'Inhalation Exposures'!$A$20:$A$81, 0))</f>
        <v>4.721159297052154E-5</v>
      </c>
      <c r="G13" s="316">
        <f>INDEX('Inhalation Exposures'!$N$20:$N$81, MATCH('1,1-DCA_test order_LBT'!$C$2, 'Inhalation Exposures'!$A$20:$A$81, 0))</f>
        <v>3.4621834845049136E-5</v>
      </c>
      <c r="H13" s="316">
        <f>INDEX('Inhalation Exposures'!$P$20:$P$81, MATCH('1,1-DCA_test order_LBT'!$C$2, 'Inhalation Exposures'!$A$20:$A$81, 0))</f>
        <v>3.233670751405585E-5</v>
      </c>
      <c r="I13" s="316">
        <f>INDEX('Inhalation Exposures'!$R$20:$R$81, MATCH('1,1-DCA_test order_LBT'!$C$2, 'Inhalation Exposures'!$A$20:$A$81, 0))</f>
        <v>1.2851768370970914E-5</v>
      </c>
      <c r="J13" s="329"/>
      <c r="K13" s="329"/>
      <c r="L13" s="1"/>
      <c r="M13" s="68"/>
      <c r="T13" s="67"/>
    </row>
    <row r="15" spans="2:21" ht="21" x14ac:dyDescent="0.35">
      <c r="C15" s="83" t="s">
        <v>105</v>
      </c>
      <c r="M15" s="83" t="s">
        <v>113</v>
      </c>
    </row>
    <row r="16" spans="2:21" ht="28.5" customHeight="1" x14ac:dyDescent="0.2">
      <c r="B16" s="70"/>
      <c r="C16" s="568" t="s">
        <v>106</v>
      </c>
      <c r="D16" s="568" t="s">
        <v>107</v>
      </c>
      <c r="E16" s="568" t="s">
        <v>23</v>
      </c>
      <c r="F16" s="568" t="s">
        <v>108</v>
      </c>
      <c r="G16" s="568" t="s">
        <v>109</v>
      </c>
      <c r="H16" s="568"/>
      <c r="I16" s="90"/>
      <c r="J16" s="90"/>
      <c r="K16" s="90"/>
      <c r="M16" s="570" t="s">
        <v>106</v>
      </c>
      <c r="N16" s="570" t="s">
        <v>114</v>
      </c>
      <c r="O16" s="570" t="s">
        <v>23</v>
      </c>
      <c r="P16" s="570" t="s">
        <v>108</v>
      </c>
      <c r="Q16" s="411" t="s">
        <v>109</v>
      </c>
    </row>
    <row r="17" spans="2:17" ht="26.1" customHeight="1" x14ac:dyDescent="0.2">
      <c r="B17" s="70"/>
      <c r="C17" s="568"/>
      <c r="D17" s="568"/>
      <c r="E17" s="568"/>
      <c r="F17" s="568"/>
      <c r="G17" s="413" t="s">
        <v>110</v>
      </c>
      <c r="H17" s="413" t="s">
        <v>111</v>
      </c>
      <c r="I17" s="90"/>
      <c r="J17" s="90"/>
      <c r="K17" s="90"/>
      <c r="M17" s="571"/>
      <c r="N17" s="571"/>
      <c r="O17" s="571"/>
      <c r="P17" s="571"/>
      <c r="Q17" s="422" t="s">
        <v>116</v>
      </c>
    </row>
    <row r="18" spans="2:17" ht="27.6" customHeight="1" x14ac:dyDescent="0.2">
      <c r="B18" s="70"/>
      <c r="C18" s="587" t="s">
        <v>112</v>
      </c>
      <c r="D18" s="580">
        <f>INDEX('Health Data'!$G:$G,MATCH($C$2,'Health Data'!$B:$B,0))</f>
        <v>2.4163399353274051</v>
      </c>
      <c r="E18" s="71" t="s">
        <v>103</v>
      </c>
      <c r="F18" s="412">
        <v>30</v>
      </c>
      <c r="G18" s="102">
        <f>D18/$F$10</f>
        <v>1076.3696075549349</v>
      </c>
      <c r="H18" s="102">
        <f>D18/$F$11</f>
        <v>777.89438166190268</v>
      </c>
      <c r="I18" s="77"/>
      <c r="J18" s="77"/>
      <c r="K18" s="77"/>
      <c r="M18" s="587" t="s">
        <v>118</v>
      </c>
      <c r="N18" s="589">
        <f>INDEX('Health Data'!$K:$K,MATCH($C$2,'Health Data'!$B:$B,0))</f>
        <v>19.899999999999999</v>
      </c>
      <c r="O18" s="72" t="s">
        <v>103</v>
      </c>
      <c r="P18" s="412">
        <v>30</v>
      </c>
      <c r="Q18" s="101">
        <f>N18/P10</f>
        <v>81156.955614995895</v>
      </c>
    </row>
    <row r="19" spans="2:17" ht="25.5" customHeight="1" x14ac:dyDescent="0.2">
      <c r="B19" s="70"/>
      <c r="C19" s="588"/>
      <c r="D19" s="555"/>
      <c r="E19" s="71" t="s">
        <v>27</v>
      </c>
      <c r="F19" s="412">
        <v>30</v>
      </c>
      <c r="G19" s="101">
        <f>D18/$F$12</f>
        <v>22200.123155820529</v>
      </c>
      <c r="H19" s="102">
        <f>D18/$F$13</f>
        <v>51181.071920961112</v>
      </c>
      <c r="I19" s="77"/>
      <c r="J19" s="77"/>
      <c r="K19" s="77"/>
      <c r="M19" s="588"/>
      <c r="N19" s="590"/>
      <c r="O19" s="72" t="s">
        <v>27</v>
      </c>
      <c r="P19" s="412">
        <v>30</v>
      </c>
      <c r="Q19" s="101">
        <f>N18/P11</f>
        <v>243470.86684498767</v>
      </c>
    </row>
    <row r="20" spans="2:17" x14ac:dyDescent="0.2">
      <c r="B20" s="73"/>
      <c r="C20" s="74"/>
      <c r="D20" s="96"/>
      <c r="E20" s="76"/>
      <c r="F20" s="75"/>
      <c r="G20" s="77"/>
      <c r="H20" s="77"/>
      <c r="I20" s="77"/>
      <c r="J20" s="77"/>
      <c r="K20" s="77"/>
      <c r="M20" s="74"/>
      <c r="N20" s="75"/>
      <c r="O20" s="81"/>
      <c r="P20" s="75"/>
      <c r="Q20" s="77"/>
    </row>
    <row r="21" spans="2:17" ht="25.5" customHeight="1" thickBot="1" x14ac:dyDescent="0.25">
      <c r="B21" s="73"/>
      <c r="C21" s="98" t="s">
        <v>115</v>
      </c>
      <c r="D21" s="96"/>
      <c r="E21" s="76"/>
      <c r="F21" s="75"/>
      <c r="G21" s="77"/>
      <c r="H21" s="77"/>
      <c r="I21" s="77"/>
      <c r="J21" s="77"/>
      <c r="K21" s="77"/>
      <c r="M21" s="97" t="s">
        <v>120</v>
      </c>
      <c r="N21" s="75"/>
      <c r="O21" s="81"/>
      <c r="P21" s="75"/>
      <c r="Q21" s="77"/>
    </row>
    <row r="22" spans="2:17" ht="25.5" customHeight="1" x14ac:dyDescent="0.2">
      <c r="B22" s="73"/>
      <c r="C22" s="568" t="s">
        <v>106</v>
      </c>
      <c r="D22" s="568" t="s">
        <v>107</v>
      </c>
      <c r="E22" s="569" t="s">
        <v>23</v>
      </c>
      <c r="F22" s="568" t="s">
        <v>108</v>
      </c>
      <c r="G22" s="568" t="s">
        <v>117</v>
      </c>
      <c r="H22" s="568"/>
      <c r="I22" s="77"/>
      <c r="J22" s="77"/>
      <c r="K22" s="77"/>
      <c r="M22" s="568" t="s">
        <v>106</v>
      </c>
      <c r="N22" s="568" t="s">
        <v>121</v>
      </c>
      <c r="O22" s="569" t="s">
        <v>23</v>
      </c>
      <c r="P22" s="568" t="s">
        <v>108</v>
      </c>
      <c r="Q22" s="413" t="s">
        <v>117</v>
      </c>
    </row>
    <row r="23" spans="2:17" ht="25.5" customHeight="1" x14ac:dyDescent="0.2">
      <c r="B23" s="73"/>
      <c r="C23" s="582"/>
      <c r="D23" s="582"/>
      <c r="E23" s="586"/>
      <c r="F23" s="582"/>
      <c r="G23" s="415" t="s">
        <v>110</v>
      </c>
      <c r="H23" s="415" t="s">
        <v>111</v>
      </c>
      <c r="I23" s="77"/>
      <c r="J23" s="77"/>
      <c r="K23" s="77"/>
      <c r="M23" s="568"/>
      <c r="N23" s="568"/>
      <c r="O23" s="569"/>
      <c r="P23" s="568"/>
      <c r="Q23" s="413" t="s">
        <v>116</v>
      </c>
    </row>
    <row r="24" spans="2:17" ht="25.5" customHeight="1" x14ac:dyDescent="0.2">
      <c r="B24" s="73"/>
      <c r="C24" s="577" t="s">
        <v>149</v>
      </c>
      <c r="D24" s="598">
        <v>22</v>
      </c>
      <c r="E24" s="71" t="s">
        <v>103</v>
      </c>
      <c r="F24" s="412">
        <v>30</v>
      </c>
      <c r="G24" s="419">
        <f>D24/$G$10</f>
        <v>13363.636363636364</v>
      </c>
      <c r="H24" s="419">
        <f>D24/$G$11</f>
        <v>9657.925653865017</v>
      </c>
      <c r="I24" s="77"/>
      <c r="J24" s="77"/>
      <c r="K24" s="77"/>
      <c r="M24" s="579" t="s">
        <v>124</v>
      </c>
      <c r="N24" s="580">
        <f>INDEX('Health Data'!$T:$T,MATCH($C$2,'Health Data'!$B:$B,0))</f>
        <v>6.5</v>
      </c>
      <c r="O24" s="72" t="s">
        <v>103</v>
      </c>
      <c r="P24" s="412">
        <v>30</v>
      </c>
      <c r="Q24" s="107">
        <f>N24/$Q$10</f>
        <v>36148.02728397488</v>
      </c>
    </row>
    <row r="25" spans="2:17" ht="25.5" customHeight="1" x14ac:dyDescent="0.2">
      <c r="B25" s="73"/>
      <c r="C25" s="577"/>
      <c r="D25" s="598"/>
      <c r="E25" s="71" t="s">
        <v>27</v>
      </c>
      <c r="F25" s="412">
        <v>30</v>
      </c>
      <c r="G25" s="419">
        <f>D24/$G$12</f>
        <v>275625</v>
      </c>
      <c r="H25" s="419">
        <f>D24/$G$13</f>
        <v>635437.14821763593</v>
      </c>
      <c r="I25" s="77"/>
      <c r="J25" s="77"/>
      <c r="K25" s="77"/>
      <c r="M25" s="579"/>
      <c r="N25" s="555"/>
      <c r="O25" s="72" t="s">
        <v>27</v>
      </c>
      <c r="P25" s="412">
        <v>30</v>
      </c>
      <c r="Q25" s="107">
        <f>N24/$Q$11</f>
        <v>108444.08185192461</v>
      </c>
    </row>
    <row r="26" spans="2:17" x14ac:dyDescent="0.2">
      <c r="B26" s="73"/>
      <c r="C26" s="74"/>
      <c r="D26" s="96"/>
      <c r="E26" s="76"/>
      <c r="F26" s="75"/>
      <c r="G26" s="77"/>
      <c r="H26" s="77"/>
      <c r="I26" s="77"/>
      <c r="J26" s="77"/>
      <c r="K26" s="77"/>
      <c r="M26" s="74"/>
      <c r="N26" s="75"/>
      <c r="O26" s="81"/>
      <c r="P26" s="75"/>
      <c r="Q26" s="77"/>
    </row>
    <row r="27" spans="2:17" s="85" customFormat="1" ht="21" x14ac:dyDescent="0.35">
      <c r="B27" s="83"/>
      <c r="C27" s="83" t="s">
        <v>122</v>
      </c>
      <c r="F27" s="86"/>
      <c r="M27" s="83" t="s">
        <v>125</v>
      </c>
    </row>
    <row r="28" spans="2:17" ht="26.1" customHeight="1" x14ac:dyDescent="0.2">
      <c r="B28" s="79"/>
      <c r="C28" s="568" t="s">
        <v>106</v>
      </c>
      <c r="D28" s="568" t="s">
        <v>107</v>
      </c>
      <c r="E28" s="568" t="s">
        <v>23</v>
      </c>
      <c r="F28" s="568" t="s">
        <v>108</v>
      </c>
      <c r="G28" s="568" t="s">
        <v>123</v>
      </c>
      <c r="H28" s="568"/>
      <c r="I28" s="90"/>
      <c r="J28" s="90"/>
      <c r="K28" s="90"/>
      <c r="M28" s="566" t="s">
        <v>106</v>
      </c>
      <c r="N28" s="566" t="s">
        <v>121</v>
      </c>
      <c r="O28" s="566" t="s">
        <v>23</v>
      </c>
      <c r="P28" s="566" t="s">
        <v>108</v>
      </c>
      <c r="Q28" s="411" t="s">
        <v>123</v>
      </c>
    </row>
    <row r="29" spans="2:17" ht="25.5" x14ac:dyDescent="0.2">
      <c r="B29" s="79"/>
      <c r="C29" s="568"/>
      <c r="D29" s="568"/>
      <c r="E29" s="568"/>
      <c r="F29" s="568"/>
      <c r="G29" s="413" t="s">
        <v>110</v>
      </c>
      <c r="H29" s="413" t="s">
        <v>111</v>
      </c>
      <c r="I29" s="90"/>
      <c r="J29" s="90"/>
      <c r="K29" s="90"/>
      <c r="M29" s="581"/>
      <c r="N29" s="567"/>
      <c r="O29" s="567"/>
      <c r="P29" s="567"/>
      <c r="Q29" s="411" t="s">
        <v>116</v>
      </c>
    </row>
    <row r="30" spans="2:17" ht="33" customHeight="1" x14ac:dyDescent="0.2">
      <c r="B30" s="79"/>
      <c r="C30" s="577" t="s">
        <v>149</v>
      </c>
      <c r="D30" s="578">
        <f>INDEX('Health Data'!$P:$P,MATCH($C$2,'Health Data'!$B:$B,0))</f>
        <v>5.2378738884397729</v>
      </c>
      <c r="E30" s="72" t="s">
        <v>103</v>
      </c>
      <c r="F30" s="412">
        <v>300</v>
      </c>
      <c r="G30" s="419">
        <f>D30/$H$10</f>
        <v>3406.5227088998299</v>
      </c>
      <c r="H30" s="419">
        <f>D30/$H$11</f>
        <v>2461.9005011451136</v>
      </c>
      <c r="I30" s="77"/>
      <c r="J30" s="77"/>
      <c r="K30" s="77"/>
      <c r="M30" s="579" t="s">
        <v>124</v>
      </c>
      <c r="N30" s="580">
        <f>INDEX('Health Data'!$T:$T,MATCH($C$2,'Health Data'!$B:$B,0))</f>
        <v>6.5</v>
      </c>
      <c r="O30" s="72" t="s">
        <v>103</v>
      </c>
      <c r="P30" s="412">
        <v>300</v>
      </c>
      <c r="Q30" s="107">
        <f>N30/$R$10</f>
        <v>38702.4878787091</v>
      </c>
    </row>
    <row r="31" spans="2:17" ht="33" customHeight="1" x14ac:dyDescent="0.2">
      <c r="B31" s="79"/>
      <c r="C31" s="577"/>
      <c r="D31" s="559"/>
      <c r="E31" s="72" t="s">
        <v>27</v>
      </c>
      <c r="F31" s="412">
        <v>300</v>
      </c>
      <c r="G31" s="419">
        <f>D30/$H$12</f>
        <v>70259.530871059003</v>
      </c>
      <c r="H31" s="419">
        <f>D30/$H$13</f>
        <v>161979.19612449777</v>
      </c>
      <c r="I31" s="77"/>
      <c r="J31" s="77"/>
      <c r="K31" s="77"/>
      <c r="M31" s="579"/>
      <c r="N31" s="555"/>
      <c r="O31" s="72" t="s">
        <v>27</v>
      </c>
      <c r="P31" s="412">
        <v>300</v>
      </c>
      <c r="Q31" s="107">
        <f>N30/$R$11</f>
        <v>116107.4636361273</v>
      </c>
    </row>
    <row r="32" spans="2:17" x14ac:dyDescent="0.2">
      <c r="B32" s="79"/>
      <c r="C32" s="80"/>
      <c r="D32" s="75"/>
      <c r="E32" s="81"/>
      <c r="F32" s="75"/>
      <c r="G32" s="77"/>
      <c r="H32" s="77"/>
      <c r="I32" s="77"/>
      <c r="J32" s="77"/>
      <c r="K32" s="77"/>
    </row>
    <row r="33" spans="2:17" ht="33" customHeight="1" x14ac:dyDescent="0.35">
      <c r="B33" s="79"/>
      <c r="C33" s="83" t="s">
        <v>126</v>
      </c>
      <c r="D33" s="85"/>
      <c r="E33" s="85"/>
      <c r="F33" s="85"/>
      <c r="G33" s="85"/>
      <c r="H33" s="85"/>
      <c r="I33" s="77"/>
      <c r="J33" s="77"/>
      <c r="K33" s="77"/>
      <c r="M33" s="83" t="s">
        <v>126</v>
      </c>
      <c r="N33" s="85"/>
      <c r="O33" s="85"/>
      <c r="P33" s="85"/>
      <c r="Q33" s="85"/>
    </row>
    <row r="34" spans="2:17" ht="33" customHeight="1" x14ac:dyDescent="0.2">
      <c r="B34" s="79"/>
      <c r="C34" s="582" t="s">
        <v>127</v>
      </c>
      <c r="D34" s="566" t="s">
        <v>128</v>
      </c>
      <c r="E34" s="566" t="s">
        <v>23</v>
      </c>
      <c r="F34" s="583" t="s">
        <v>129</v>
      </c>
      <c r="G34" s="568" t="s">
        <v>130</v>
      </c>
      <c r="H34" s="568"/>
      <c r="I34" s="77"/>
      <c r="J34" s="77"/>
      <c r="K34" s="77"/>
      <c r="M34" s="566" t="s">
        <v>127</v>
      </c>
      <c r="N34" s="566" t="s">
        <v>133</v>
      </c>
      <c r="O34" s="566" t="s">
        <v>23</v>
      </c>
      <c r="P34" s="566" t="s">
        <v>129</v>
      </c>
      <c r="Q34" s="411" t="s">
        <v>130</v>
      </c>
    </row>
    <row r="35" spans="2:17" ht="33" customHeight="1" x14ac:dyDescent="0.2">
      <c r="B35" s="79"/>
      <c r="C35" s="530"/>
      <c r="D35" s="567"/>
      <c r="E35" s="567"/>
      <c r="F35" s="584"/>
      <c r="G35" s="413" t="s">
        <v>131</v>
      </c>
      <c r="H35" s="413" t="s">
        <v>28</v>
      </c>
      <c r="I35" s="77"/>
      <c r="J35" s="77"/>
      <c r="K35" s="77"/>
      <c r="M35" s="567"/>
      <c r="N35" s="567"/>
      <c r="O35" s="567"/>
      <c r="P35" s="567"/>
      <c r="Q35" s="411" t="s">
        <v>135</v>
      </c>
    </row>
    <row r="36" spans="2:17" ht="33" customHeight="1" x14ac:dyDescent="0.2">
      <c r="B36" s="79"/>
      <c r="C36" s="572" t="s">
        <v>132</v>
      </c>
      <c r="D36" s="574">
        <f>INDEX('Health Data'!$Y:$Y,MATCH($C$2,'Health Data'!$B:$B,0))</f>
        <v>2.8736850715746418E-2</v>
      </c>
      <c r="E36" s="71" t="s">
        <v>103</v>
      </c>
      <c r="F36" s="107">
        <v>1E-4</v>
      </c>
      <c r="G36" s="103">
        <f>I10*D36</f>
        <v>2.2659394986001064E-5</v>
      </c>
      <c r="H36" s="104">
        <f>I11*D36</f>
        <v>3.1353721872122776E-5</v>
      </c>
      <c r="I36" s="77"/>
      <c r="J36" s="77"/>
      <c r="K36" s="77"/>
      <c r="M36" s="572" t="s">
        <v>156</v>
      </c>
      <c r="N36" s="574" t="str">
        <f>INDEX('Health Data'!$AB:$AB,MATCH($C$2,'Health Data'!$B:$B,0))</f>
        <v>Not Quantified</v>
      </c>
      <c r="O36" s="71" t="s">
        <v>103</v>
      </c>
      <c r="P36" s="597"/>
      <c r="Q36" s="107"/>
    </row>
    <row r="37" spans="2:17" ht="33" customHeight="1" x14ac:dyDescent="0.2">
      <c r="B37" s="79"/>
      <c r="C37" s="573"/>
      <c r="D37" s="575"/>
      <c r="E37" s="71" t="s">
        <v>27</v>
      </c>
      <c r="F37" s="107">
        <v>1E-4</v>
      </c>
      <c r="G37" s="105">
        <f>I12*D36</f>
        <v>8.5144393280731264E-7</v>
      </c>
      <c r="H37" s="104">
        <f>I13*D36</f>
        <v>3.693193491099427E-7</v>
      </c>
      <c r="I37" s="77"/>
      <c r="J37" s="77"/>
      <c r="K37" s="77"/>
      <c r="M37" s="576"/>
      <c r="N37" s="575"/>
      <c r="O37" s="71" t="s">
        <v>27</v>
      </c>
      <c r="P37" s="596"/>
      <c r="Q37" s="107"/>
    </row>
    <row r="38" spans="2:17" ht="33" customHeight="1" x14ac:dyDescent="0.2">
      <c r="B38" s="79"/>
      <c r="I38" s="77"/>
      <c r="J38" s="77"/>
      <c r="K38" s="77"/>
    </row>
    <row r="39" spans="2:17" ht="33" customHeight="1" x14ac:dyDescent="0.35">
      <c r="B39" s="79"/>
      <c r="C39" s="83" t="s">
        <v>134</v>
      </c>
      <c r="I39" s="77"/>
      <c r="J39" s="77"/>
      <c r="K39" s="77"/>
    </row>
    <row r="40" spans="2:17" ht="33" customHeight="1" thickBot="1" x14ac:dyDescent="0.4">
      <c r="B40" s="79"/>
      <c r="C40" s="83"/>
      <c r="I40" s="77"/>
      <c r="J40" s="77"/>
      <c r="K40" s="77"/>
    </row>
    <row r="41" spans="2:17" ht="33" customHeight="1" x14ac:dyDescent="0.25">
      <c r="B41" s="79"/>
      <c r="C41" s="325" t="s">
        <v>136</v>
      </c>
      <c r="I41" s="77"/>
      <c r="J41" s="77"/>
      <c r="K41" s="77"/>
    </row>
    <row r="42" spans="2:17" ht="33" customHeight="1" thickBot="1" x14ac:dyDescent="0.3">
      <c r="B42" s="79"/>
      <c r="C42" s="326" t="s">
        <v>30</v>
      </c>
      <c r="I42" s="77"/>
      <c r="J42" s="77"/>
      <c r="K42" s="77"/>
    </row>
    <row r="43" spans="2:17" ht="33" customHeight="1" x14ac:dyDescent="0.3">
      <c r="B43" s="79"/>
      <c r="C43" s="317"/>
      <c r="I43" s="77"/>
      <c r="J43" s="77"/>
      <c r="K43" s="77"/>
    </row>
    <row r="44" spans="2:17" ht="33" customHeight="1" thickBot="1" x14ac:dyDescent="0.25">
      <c r="B44" s="79"/>
      <c r="I44" s="77"/>
      <c r="J44" s="77"/>
      <c r="K44" s="77"/>
      <c r="N44" s="68" t="s">
        <v>157</v>
      </c>
    </row>
    <row r="45" spans="2:17" ht="33" customHeight="1" x14ac:dyDescent="0.2">
      <c r="B45" s="548" t="s">
        <v>138</v>
      </c>
      <c r="C45" s="540" t="s">
        <v>107</v>
      </c>
      <c r="D45" s="540" t="s">
        <v>23</v>
      </c>
      <c r="E45" s="540" t="s">
        <v>108</v>
      </c>
      <c r="F45" s="540" t="str">
        <f>_xlfn.CONCAT("Exposure Estimates: ",$C$42," MOE")</f>
        <v>Exposure Estimates: Worker MOE</v>
      </c>
      <c r="G45" s="540"/>
      <c r="H45" s="540"/>
      <c r="I45" s="540"/>
      <c r="J45" s="540"/>
      <c r="K45" s="542"/>
    </row>
    <row r="46" spans="2:17" ht="33" customHeight="1" thickBot="1" x14ac:dyDescent="0.25">
      <c r="B46" s="549"/>
      <c r="C46" s="541"/>
      <c r="D46" s="541"/>
      <c r="E46" s="541"/>
      <c r="F46" s="416" t="s">
        <v>139</v>
      </c>
      <c r="G46" s="416" t="s">
        <v>34</v>
      </c>
      <c r="H46" s="416" t="s">
        <v>35</v>
      </c>
      <c r="I46" s="416" t="s">
        <v>32</v>
      </c>
      <c r="J46" s="416" t="s">
        <v>140</v>
      </c>
      <c r="K46" s="290" t="s">
        <v>31</v>
      </c>
    </row>
    <row r="47" spans="2:17" ht="33" customHeight="1" x14ac:dyDescent="0.2">
      <c r="B47" s="550" t="s">
        <v>143</v>
      </c>
      <c r="C47" s="555">
        <f>INDEX('Health Data'!$G:$G,MATCH($C$2,'Health Data'!$B:$B,0))</f>
        <v>2.4163399353274051</v>
      </c>
      <c r="D47" s="292" t="s">
        <v>103</v>
      </c>
      <c r="E47" s="421">
        <v>30</v>
      </c>
      <c r="F47" s="304">
        <f>IFERROR($C47/IF($C$42="Worker",$F$10,$F$11), "")</f>
        <v>1076.3696075549349</v>
      </c>
      <c r="G47" s="305">
        <f>IFERROR($F47*'List Values'!$B$9, "")</f>
        <v>10763.696075549349</v>
      </c>
      <c r="H47" s="305">
        <f>IFERROR($F47*'List Values'!$B$10, "")</f>
        <v>26909.240188873373</v>
      </c>
      <c r="I47" s="305">
        <f>IFERROR($F47*'List Values'!$B$11, "")</f>
        <v>53818.480377746746</v>
      </c>
      <c r="J47" s="305">
        <f>IFERROR($F47*'List Values'!$B$12, "")</f>
        <v>1076369.6075549349</v>
      </c>
      <c r="K47" s="306">
        <f>IFERROR($F47*'List Values'!$B$13, "")</f>
        <v>10763696.075549349</v>
      </c>
    </row>
    <row r="48" spans="2:17" ht="33" customHeight="1" thickBot="1" x14ac:dyDescent="0.25">
      <c r="B48" s="551"/>
      <c r="C48" s="556"/>
      <c r="D48" s="293" t="s">
        <v>27</v>
      </c>
      <c r="E48" s="418">
        <v>30</v>
      </c>
      <c r="F48" s="303">
        <f>IFERROR($C47/IF($C$42="Worker",$F$12,$F$13), "")</f>
        <v>22200.123155820529</v>
      </c>
      <c r="G48" s="303">
        <f>IFERROR($F48*'List Values'!$B$9, "")</f>
        <v>222001.2315582053</v>
      </c>
      <c r="H48" s="303">
        <f>IFERROR($F48*'List Values'!$B$10, "")</f>
        <v>555003.0788955132</v>
      </c>
      <c r="I48" s="303">
        <f>IFERROR($F48*'List Values'!$B$11, "")</f>
        <v>1110006.1577910264</v>
      </c>
      <c r="J48" s="303">
        <f>IFERROR($F48*'List Values'!$B$12, "")</f>
        <v>22200123.15582053</v>
      </c>
      <c r="K48" s="307">
        <f>IFERROR($F48*'List Values'!$B$13, "")</f>
        <v>222001231.55820528</v>
      </c>
    </row>
    <row r="49" spans="2:15" ht="33" customHeight="1" x14ac:dyDescent="0.2">
      <c r="B49" s="552" t="s">
        <v>144</v>
      </c>
      <c r="C49" s="557">
        <v>22</v>
      </c>
      <c r="D49" s="299" t="s">
        <v>103</v>
      </c>
      <c r="E49" s="417">
        <v>30</v>
      </c>
      <c r="F49" s="300">
        <f>IFERROR($C49/IF($C$42="Worker",$G$10,$G$11), "")</f>
        <v>13363.636363636364</v>
      </c>
      <c r="G49" s="301">
        <f>IFERROR($F49*'List Values'!$B$9, "")</f>
        <v>133636.36363636365</v>
      </c>
      <c r="H49" s="301">
        <f>IFERROR($F49*'List Values'!$B$10, "")</f>
        <v>334090.90909090912</v>
      </c>
      <c r="I49" s="301">
        <f>IFERROR($F49*'List Values'!$B$11, "")</f>
        <v>668181.81818181823</v>
      </c>
      <c r="J49" s="301">
        <f>IFERROR($F49*'List Values'!$B$12, "")</f>
        <v>13363636.363636363</v>
      </c>
      <c r="K49" s="302">
        <f>IFERROR($F49*'List Values'!$B$13, "")</f>
        <v>133636363.63636364</v>
      </c>
    </row>
    <row r="50" spans="2:15" ht="33" customHeight="1" thickBot="1" x14ac:dyDescent="0.25">
      <c r="B50" s="551"/>
      <c r="C50" s="558"/>
      <c r="D50" s="293" t="s">
        <v>27</v>
      </c>
      <c r="E50" s="418">
        <v>30</v>
      </c>
      <c r="F50" s="303">
        <f>IFERROR($C49/IF($C$42="Worker",$G$12,$G$13), "")</f>
        <v>275625</v>
      </c>
      <c r="G50" s="303">
        <f>IFERROR($F50*'List Values'!$B$9, "")</f>
        <v>2756250</v>
      </c>
      <c r="H50" s="303">
        <f>IFERROR($F50*'List Values'!$B$10, "")</f>
        <v>6890625</v>
      </c>
      <c r="I50" s="303">
        <f>IFERROR($F50*'List Values'!$B$11, "")</f>
        <v>13781250</v>
      </c>
      <c r="J50" s="303">
        <f>IFERROR($F50*'List Values'!$B$12, "")</f>
        <v>275625000</v>
      </c>
      <c r="K50" s="307">
        <f>IFERROR($F50*'List Values'!$B$13, "")</f>
        <v>2756250000</v>
      </c>
    </row>
    <row r="51" spans="2:15" ht="33" customHeight="1" x14ac:dyDescent="0.2">
      <c r="B51" s="553" t="s">
        <v>145</v>
      </c>
      <c r="C51" s="559">
        <f>INDEX('Health Data'!$P:$P,MATCH($C$2,'Health Data'!$B:$B,0))</f>
        <v>5.2378738884397729</v>
      </c>
      <c r="D51" s="292" t="s">
        <v>103</v>
      </c>
      <c r="E51" s="421">
        <v>300</v>
      </c>
      <c r="F51" s="304">
        <f>IFERROR($C51/IF($C$42="Worker",$H$10,$H$11), "")</f>
        <v>3406.5227088998299</v>
      </c>
      <c r="G51" s="305">
        <f>IFERROR($F51*'List Values'!$B$9, "")</f>
        <v>34065.227088998297</v>
      </c>
      <c r="H51" s="305">
        <f>IFERROR($F51*'List Values'!$B$10, "")</f>
        <v>85163.067722495747</v>
      </c>
      <c r="I51" s="305">
        <f>IFERROR($F51*'List Values'!$B$11, "")</f>
        <v>170326.13544499149</v>
      </c>
      <c r="J51" s="305">
        <f>IFERROR($F51*'List Values'!$B$12, "")</f>
        <v>3406522.70889983</v>
      </c>
      <c r="K51" s="306">
        <f>IFERROR($F51*'List Values'!$B$13, "")</f>
        <v>34065227.088998303</v>
      </c>
    </row>
    <row r="52" spans="2:15" ht="33" customHeight="1" thickBot="1" x14ac:dyDescent="0.25">
      <c r="B52" s="554"/>
      <c r="C52" s="560"/>
      <c r="D52" s="293" t="s">
        <v>27</v>
      </c>
      <c r="E52" s="418">
        <v>300</v>
      </c>
      <c r="F52" s="303">
        <f>IFERROR($C51/IF($C$42="Worker",$H$12,$H$13), "")</f>
        <v>70259.530871059003</v>
      </c>
      <c r="G52" s="303">
        <f>IFERROR($F52*'List Values'!$B$9, "")</f>
        <v>702595.30871059</v>
      </c>
      <c r="H52" s="303">
        <f>IFERROR($F52*'List Values'!$B$10, "")</f>
        <v>1756488.271776475</v>
      </c>
      <c r="I52" s="303">
        <f>IFERROR($F52*'List Values'!$B$11, "")</f>
        <v>3512976.54355295</v>
      </c>
      <c r="J52" s="303">
        <f>IFERROR($F52*'List Values'!$B$12, "")</f>
        <v>70259530.871059</v>
      </c>
      <c r="K52" s="307">
        <f>IFERROR($F52*'List Values'!$B$13, "")</f>
        <v>702595308.71059</v>
      </c>
    </row>
    <row r="53" spans="2:15" ht="33" customHeight="1" x14ac:dyDescent="0.2">
      <c r="B53" s="294"/>
      <c r="C53" s="547" t="s">
        <v>146</v>
      </c>
      <c r="D53" s="530" t="s">
        <v>23</v>
      </c>
      <c r="E53" s="530" t="s">
        <v>108</v>
      </c>
      <c r="F53" s="530" t="str">
        <f>_xlfn.CONCAT("Exposure Estimates: ",$C$42," MOE")</f>
        <v>Exposure Estimates: Worker MOE</v>
      </c>
      <c r="G53" s="530"/>
      <c r="H53" s="530"/>
      <c r="I53" s="530"/>
      <c r="J53" s="530"/>
      <c r="K53" s="531"/>
    </row>
    <row r="54" spans="2:15" ht="33" customHeight="1" thickBot="1" x14ac:dyDescent="0.25">
      <c r="B54" s="294"/>
      <c r="C54" s="533"/>
      <c r="D54" s="541"/>
      <c r="E54" s="541"/>
      <c r="F54" s="416" t="s">
        <v>139</v>
      </c>
      <c r="G54" s="416" t="s">
        <v>34</v>
      </c>
      <c r="H54" s="416" t="s">
        <v>35</v>
      </c>
      <c r="I54" s="416" t="s">
        <v>32</v>
      </c>
      <c r="J54" s="416" t="s">
        <v>140</v>
      </c>
      <c r="K54" s="290" t="s">
        <v>31</v>
      </c>
    </row>
    <row r="55" spans="2:15" ht="33" customHeight="1" x14ac:dyDescent="0.2">
      <c r="B55" s="545" t="s">
        <v>148</v>
      </c>
      <c r="C55" s="543">
        <f>INDEX('Health Data'!$Y:$Y,MATCH($C$2,'Health Data'!$B:$B,0))</f>
        <v>2.8736850715746418E-2</v>
      </c>
      <c r="D55" s="299" t="s">
        <v>103</v>
      </c>
      <c r="E55" s="107">
        <v>1E-4</v>
      </c>
      <c r="F55" s="340">
        <f>IFERROR($C55*IF($C$42="Worker",$I$10,$I$11), "")</f>
        <v>2.2659394986001064E-5</v>
      </c>
      <c r="G55" s="341">
        <f>IFERROR($F55/'List Values'!$B$9, "")</f>
        <v>2.2659394986001064E-6</v>
      </c>
      <c r="H55" s="341">
        <f>IFERROR($F55/'List Values'!$B$10, "")</f>
        <v>9.0637579944004262E-7</v>
      </c>
      <c r="I55" s="341">
        <f>IFERROR($F55/'List Values'!$B$11, "")</f>
        <v>4.5318789972002131E-7</v>
      </c>
      <c r="J55" s="341">
        <f>IFERROR($F55/'List Values'!$B$12, "")</f>
        <v>2.2659394986001065E-8</v>
      </c>
      <c r="K55" s="342">
        <f>IFERROR($F55/'List Values'!$B$13, "")</f>
        <v>2.2659394986001064E-9</v>
      </c>
    </row>
    <row r="56" spans="2:15" ht="33" customHeight="1" thickBot="1" x14ac:dyDescent="0.25">
      <c r="B56" s="546"/>
      <c r="C56" s="544"/>
      <c r="D56" s="293" t="s">
        <v>27</v>
      </c>
      <c r="E56" s="107">
        <v>1E-4</v>
      </c>
      <c r="F56" s="337">
        <f>IFERROR($C55*IF($C$42="Worker",$I$12,$I$13), "")</f>
        <v>8.5144393280731264E-7</v>
      </c>
      <c r="G56" s="338">
        <f>IFERROR($F56/'List Values'!$B$9, "")</f>
        <v>8.5144393280731264E-8</v>
      </c>
      <c r="H56" s="338">
        <f>IFERROR($F56/'List Values'!$B$10, "")</f>
        <v>3.4057757312292503E-8</v>
      </c>
      <c r="I56" s="338">
        <f>IFERROR($F56/'List Values'!$B$11, "")</f>
        <v>1.7028878656146251E-8</v>
      </c>
      <c r="J56" s="338">
        <f>IFERROR($F56/'List Values'!$B$12, "")</f>
        <v>8.5144393280731259E-10</v>
      </c>
      <c r="K56" s="339">
        <f>IFERROR($F56/'List Values'!$B$13, "")</f>
        <v>8.5144393280731269E-11</v>
      </c>
    </row>
    <row r="57" spans="2:15" ht="33" customHeight="1" x14ac:dyDescent="0.2">
      <c r="B57" s="79"/>
      <c r="I57" s="77"/>
    </row>
    <row r="58" spans="2:15" ht="33" customHeight="1" x14ac:dyDescent="0.2">
      <c r="B58" s="79"/>
      <c r="I58" s="77"/>
    </row>
    <row r="59" spans="2:15" ht="33" customHeight="1" x14ac:dyDescent="0.2">
      <c r="B59" s="79"/>
      <c r="I59" s="77"/>
    </row>
    <row r="60" spans="2:15" ht="33" customHeight="1" x14ac:dyDescent="0.2">
      <c r="B60" s="79"/>
      <c r="I60" s="77"/>
    </row>
    <row r="61" spans="2:15" s="85" customFormat="1" ht="21" x14ac:dyDescent="0.35">
      <c r="C61" s="66"/>
      <c r="D61" s="66"/>
      <c r="E61" s="66"/>
      <c r="F61" s="66"/>
      <c r="G61" s="66"/>
      <c r="H61" s="66"/>
      <c r="K61" s="66"/>
      <c r="L61" s="66"/>
      <c r="M61" s="66"/>
      <c r="N61" s="66"/>
      <c r="O61" s="66"/>
    </row>
    <row r="62" spans="2:15" ht="25.5" customHeight="1" x14ac:dyDescent="0.2">
      <c r="B62" s="76"/>
      <c r="I62" s="90"/>
    </row>
    <row r="63" spans="2:15" ht="14.45" customHeight="1" x14ac:dyDescent="0.2">
      <c r="B63" s="76"/>
      <c r="I63" s="90"/>
    </row>
    <row r="64" spans="2:15" x14ac:dyDescent="0.2">
      <c r="B64" s="76"/>
      <c r="I64" s="89"/>
    </row>
    <row r="65" spans="2:9" x14ac:dyDescent="0.2">
      <c r="B65" s="76"/>
      <c r="I65" s="89"/>
    </row>
    <row r="69" spans="2:9" ht="29.1" customHeight="1" x14ac:dyDescent="0.2"/>
  </sheetData>
  <sheetProtection sheet="1" objects="1" scenarios="1" formatCells="0" formatColumns="0" formatRows="0"/>
  <mergeCells count="77">
    <mergeCell ref="C8:C9"/>
    <mergeCell ref="D8:D9"/>
    <mergeCell ref="M8:M9"/>
    <mergeCell ref="N8:N9"/>
    <mergeCell ref="D10:D11"/>
    <mergeCell ref="M10:M11"/>
    <mergeCell ref="D12:D13"/>
    <mergeCell ref="C16:C17"/>
    <mergeCell ref="D16:D17"/>
    <mergeCell ref="E16:E17"/>
    <mergeCell ref="F16:F17"/>
    <mergeCell ref="M16:M17"/>
    <mergeCell ref="N16:N17"/>
    <mergeCell ref="O16:O17"/>
    <mergeCell ref="P16:P17"/>
    <mergeCell ref="C18:C19"/>
    <mergeCell ref="D18:D19"/>
    <mergeCell ref="M18:M19"/>
    <mergeCell ref="N18:N19"/>
    <mergeCell ref="G16:H16"/>
    <mergeCell ref="N22:N23"/>
    <mergeCell ref="O22:O23"/>
    <mergeCell ref="P22:P23"/>
    <mergeCell ref="C24:C25"/>
    <mergeCell ref="D24:D25"/>
    <mergeCell ref="M24:M25"/>
    <mergeCell ref="N24:N25"/>
    <mergeCell ref="C22:C23"/>
    <mergeCell ref="D22:D23"/>
    <mergeCell ref="E22:E23"/>
    <mergeCell ref="F22:F23"/>
    <mergeCell ref="G22:H22"/>
    <mergeCell ref="M22:M23"/>
    <mergeCell ref="N28:N29"/>
    <mergeCell ref="O28:O29"/>
    <mergeCell ref="P28:P29"/>
    <mergeCell ref="C30:C31"/>
    <mergeCell ref="D30:D31"/>
    <mergeCell ref="M30:M31"/>
    <mergeCell ref="N30:N31"/>
    <mergeCell ref="C28:C29"/>
    <mergeCell ref="D28:D29"/>
    <mergeCell ref="E28:E29"/>
    <mergeCell ref="F28:F29"/>
    <mergeCell ref="G28:H28"/>
    <mergeCell ref="M28:M29"/>
    <mergeCell ref="N34:N35"/>
    <mergeCell ref="O34:O35"/>
    <mergeCell ref="P34:P35"/>
    <mergeCell ref="C36:C37"/>
    <mergeCell ref="D36:D37"/>
    <mergeCell ref="M36:M37"/>
    <mergeCell ref="N36:N37"/>
    <mergeCell ref="P36:P37"/>
    <mergeCell ref="C34:C35"/>
    <mergeCell ref="D34:D35"/>
    <mergeCell ref="E34:E35"/>
    <mergeCell ref="F34:F35"/>
    <mergeCell ref="G34:H34"/>
    <mergeCell ref="M34:M35"/>
    <mergeCell ref="B45:B46"/>
    <mergeCell ref="C45:C46"/>
    <mergeCell ref="D45:D46"/>
    <mergeCell ref="E45:E46"/>
    <mergeCell ref="F45:K45"/>
    <mergeCell ref="B47:B48"/>
    <mergeCell ref="C47:C48"/>
    <mergeCell ref="B49:B50"/>
    <mergeCell ref="C49:C50"/>
    <mergeCell ref="B51:B52"/>
    <mergeCell ref="C51:C52"/>
    <mergeCell ref="C53:C54"/>
    <mergeCell ref="D53:D54"/>
    <mergeCell ref="E53:E54"/>
    <mergeCell ref="F53:K53"/>
    <mergeCell ref="B55:B56"/>
    <mergeCell ref="C55:C56"/>
  </mergeCells>
  <conditionalFormatting sqref="E10:K13">
    <cfRule type="cellIs" dxfId="1169" priority="61" operator="between">
      <formula>1</formula>
      <formula>10</formula>
    </cfRule>
    <cfRule type="cellIs" dxfId="1168" priority="52" operator="greaterThanOrEqual">
      <formula>10000</formula>
    </cfRule>
    <cfRule type="cellIs" dxfId="1167" priority="59" operator="lessThan">
      <formula>0.1</formula>
    </cfRule>
    <cfRule type="cellIs" dxfId="1166" priority="58" operator="equal">
      <formula>0</formula>
    </cfRule>
    <cfRule type="containsBlanks" dxfId="1165" priority="57" stopIfTrue="1">
      <formula>LEN(TRIM(E10))=0</formula>
    </cfRule>
    <cfRule type="cellIs" dxfId="1164" priority="56" operator="lessThanOrEqual">
      <formula>0.1</formula>
    </cfRule>
    <cfRule type="cellIs" dxfId="1163" priority="55" operator="between">
      <formula>0.1</formula>
      <formula>0.999</formula>
    </cfRule>
    <cfRule type="cellIs" dxfId="1162" priority="60" operator="between">
      <formula>0.1</formula>
      <formula>0.999</formula>
    </cfRule>
    <cfRule type="cellIs" dxfId="1161" priority="54" operator="between">
      <formula>1</formula>
      <formula>9.999</formula>
    </cfRule>
    <cfRule type="cellIs" dxfId="1160" priority="53" operator="greaterThanOrEqual">
      <formula>10</formula>
    </cfRule>
    <cfRule type="cellIs" dxfId="1159" priority="63" operator="greaterThan">
      <formula>10000</formula>
    </cfRule>
    <cfRule type="cellIs" dxfId="1158" priority="62" operator="greaterThan">
      <formula>10</formula>
    </cfRule>
  </conditionalFormatting>
  <conditionalFormatting sqref="F47:K48">
    <cfRule type="cellIs" dxfId="1157" priority="38" operator="greaterThanOrEqual">
      <formula>$E$47</formula>
    </cfRule>
    <cfRule type="cellIs" dxfId="1156" priority="39" operator="lessThan">
      <formula>$E$47</formula>
    </cfRule>
  </conditionalFormatting>
  <conditionalFormatting sqref="F47:K52">
    <cfRule type="cellIs" dxfId="1155" priority="16" operator="greaterThanOrEqual">
      <formula>10000</formula>
    </cfRule>
    <cfRule type="cellIs" dxfId="1154" priority="17" operator="greaterThanOrEqual">
      <formula>10</formula>
    </cfRule>
    <cfRule type="cellIs" dxfId="1153" priority="18" operator="between">
      <formula>1</formula>
      <formula>9.999</formula>
    </cfRule>
    <cfRule type="cellIs" dxfId="1152" priority="19" operator="between">
      <formula>0.1</formula>
      <formula>0.999</formula>
    </cfRule>
    <cfRule type="cellIs" dxfId="1151" priority="20" operator="lessThanOrEqual">
      <formula>0.1</formula>
    </cfRule>
    <cfRule type="containsBlanks" dxfId="1150" priority="21" stopIfTrue="1">
      <formula>LEN(TRIM(F47))=0</formula>
    </cfRule>
  </conditionalFormatting>
  <conditionalFormatting sqref="F49:K50">
    <cfRule type="cellIs" dxfId="1149" priority="30" operator="greaterThanOrEqual">
      <formula>$E$49</formula>
    </cfRule>
    <cfRule type="cellIs" dxfId="1148" priority="31" operator="lessThan">
      <formula>$E$49</formula>
    </cfRule>
  </conditionalFormatting>
  <conditionalFormatting sqref="F51:K52">
    <cfRule type="cellIs" dxfId="1147" priority="23" operator="lessThan">
      <formula>$E$51</formula>
    </cfRule>
    <cfRule type="cellIs" dxfId="1146" priority="22" operator="greaterThanOrEqual">
      <formula>$E$51</formula>
    </cfRule>
  </conditionalFormatting>
  <conditionalFormatting sqref="F55:K55">
    <cfRule type="containsBlanks" dxfId="1145" priority="12" stopIfTrue="1">
      <formula>LEN(TRIM(F55))=0</formula>
    </cfRule>
    <cfRule type="cellIs" dxfId="1144" priority="13" operator="greaterThanOrEqual">
      <formula>0.0001</formula>
    </cfRule>
  </conditionalFormatting>
  <conditionalFormatting sqref="F55:K56">
    <cfRule type="cellIs" dxfId="1143" priority="2" operator="between">
      <formula>0.1</formula>
      <formula>0.999</formula>
    </cfRule>
    <cfRule type="cellIs" dxfId="1142" priority="7" operator="greaterThanOrEqual">
      <formula>10000</formula>
    </cfRule>
    <cfRule type="cellIs" dxfId="1141" priority="8" operator="greaterThanOrEqual">
      <formula>10</formula>
    </cfRule>
    <cfRule type="cellIs" dxfId="1140" priority="1" operator="between">
      <formula>1</formula>
      <formula>9.999</formula>
    </cfRule>
  </conditionalFormatting>
  <conditionalFormatting sqref="F56:K56">
    <cfRule type="containsBlanks" dxfId="1139" priority="3" stopIfTrue="1">
      <formula>LEN(TRIM(F56))=0</formula>
    </cfRule>
    <cfRule type="cellIs" dxfId="1138" priority="4" operator="greaterThanOrEqual">
      <formula>0.0001</formula>
    </cfRule>
    <cfRule type="cellIs" dxfId="1137" priority="11" operator="lessThanOrEqual">
      <formula>0.1</formula>
    </cfRule>
  </conditionalFormatting>
  <conditionalFormatting sqref="G18:H19 G24:H25 G30:H31">
    <cfRule type="cellIs" dxfId="1136" priority="81" operator="greaterThanOrEqual">
      <formula>10</formula>
    </cfRule>
    <cfRule type="cellIs" dxfId="1135" priority="80" operator="greaterThanOrEqual">
      <formula>10000</formula>
    </cfRule>
    <cfRule type="cellIs" dxfId="1134" priority="86" operator="lessThan">
      <formula>$F18</formula>
    </cfRule>
    <cfRule type="containsBlanks" dxfId="1133" priority="85" stopIfTrue="1">
      <formula>LEN(TRIM(G18))=0</formula>
    </cfRule>
    <cfRule type="cellIs" dxfId="1132" priority="84" operator="lessThanOrEqual">
      <formula>0.1</formula>
    </cfRule>
    <cfRule type="cellIs" dxfId="1131" priority="83" operator="between">
      <formula>0.1</formula>
      <formula>0.999</formula>
    </cfRule>
    <cfRule type="cellIs" dxfId="1130" priority="82" operator="between">
      <formula>1</formula>
      <formula>9.999</formula>
    </cfRule>
  </conditionalFormatting>
  <conditionalFormatting sqref="G36:H37 Q36:Q37">
    <cfRule type="cellIs" dxfId="1129" priority="71" operator="greaterThan">
      <formula>0.0001</formula>
    </cfRule>
  </conditionalFormatting>
  <conditionalFormatting sqref="G36:H37">
    <cfRule type="cellIs" dxfId="1128" priority="67" operator="between">
      <formula>0.1</formula>
      <formula>0.999</formula>
    </cfRule>
    <cfRule type="cellIs" dxfId="1127" priority="68" operator="lessThanOrEqual">
      <formula>0.1</formula>
    </cfRule>
    <cfRule type="cellIs" dxfId="1126" priority="70" operator="equal">
      <formula>0</formula>
    </cfRule>
    <cfRule type="containsBlanks" dxfId="1125" priority="69" stopIfTrue="1">
      <formula>LEN(TRIM(G36))=0</formula>
    </cfRule>
    <cfRule type="cellIs" dxfId="1124" priority="64" operator="greaterThanOrEqual">
      <formula>10000</formula>
    </cfRule>
    <cfRule type="cellIs" dxfId="1123" priority="65" operator="greaterThanOrEqual">
      <formula>10</formula>
    </cfRule>
    <cfRule type="cellIs" dxfId="1122" priority="66" operator="between">
      <formula>1</formula>
      <formula>9.999</formula>
    </cfRule>
  </conditionalFormatting>
  <conditionalFormatting sqref="O10:S11">
    <cfRule type="cellIs" dxfId="1121" priority="40" operator="greaterThanOrEqual">
      <formula>10000</formula>
    </cfRule>
    <cfRule type="cellIs" dxfId="1120" priority="51" operator="greaterThan">
      <formula>10000</formula>
    </cfRule>
    <cfRule type="cellIs" dxfId="1119" priority="50" operator="greaterThan">
      <formula>10</formula>
    </cfRule>
    <cfRule type="cellIs" dxfId="1118" priority="49" operator="between">
      <formula>1</formula>
      <formula>10</formula>
    </cfRule>
    <cfRule type="cellIs" dxfId="1117" priority="42" operator="between">
      <formula>1</formula>
      <formula>9.999</formula>
    </cfRule>
    <cfRule type="cellIs" dxfId="1116" priority="41" operator="greaterThanOrEqual">
      <formula>10</formula>
    </cfRule>
    <cfRule type="cellIs" dxfId="1115" priority="43" operator="between">
      <formula>0.1</formula>
      <formula>0.999</formula>
    </cfRule>
    <cfRule type="cellIs" dxfId="1114" priority="44" operator="lessThanOrEqual">
      <formula>0.1</formula>
    </cfRule>
    <cfRule type="containsBlanks" dxfId="1113" priority="45" stopIfTrue="1">
      <formula>LEN(TRIM(O10))=0</formula>
    </cfRule>
    <cfRule type="cellIs" dxfId="1112" priority="46" operator="equal">
      <formula>0</formula>
    </cfRule>
    <cfRule type="cellIs" dxfId="1111" priority="47" operator="lessThan">
      <formula>0.1</formula>
    </cfRule>
    <cfRule type="cellIs" dxfId="1110" priority="48" operator="between">
      <formula>0.1</formula>
      <formula>0.999</formula>
    </cfRule>
  </conditionalFormatting>
  <conditionalFormatting sqref="Q18:Q19 Q24:Q25 Q30:Q31 Q36:Q37">
    <cfRule type="cellIs" dxfId="1109" priority="73" operator="greaterThanOrEqual">
      <formula>10000</formula>
    </cfRule>
    <cfRule type="cellIs" dxfId="1108" priority="74" operator="greaterThanOrEqual">
      <formula>10</formula>
    </cfRule>
    <cfRule type="cellIs" dxfId="1107" priority="75" operator="between">
      <formula>1</formula>
      <formula>9.999</formula>
    </cfRule>
    <cfRule type="cellIs" dxfId="1106" priority="76" operator="between">
      <formula>0.1</formula>
      <formula>0.999</formula>
    </cfRule>
    <cfRule type="cellIs" dxfId="1105" priority="77" operator="lessThanOrEqual">
      <formula>0.1</formula>
    </cfRule>
    <cfRule type="cellIs" dxfId="1104" priority="79" operator="lessThan">
      <formula>$P18</formula>
    </cfRule>
    <cfRule type="containsBlanks" dxfId="1103" priority="78" stopIfTrue="1">
      <formula>LEN(TRIM(Q18))=0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96EEDF-2932-4B70-9186-62758EA87F34}">
          <x14:formula1>
            <xm:f>'List Values'!$B$4:$B$5</xm:f>
          </x14:formula1>
          <xm:sqref>C42:C43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10D34-9E7A-4503-8B34-7CF4A9B0F591}">
  <sheetPr codeName="Sheet33"/>
  <dimension ref="B1:V69"/>
  <sheetViews>
    <sheetView topLeftCell="D1" workbookViewId="0">
      <selection activeCell="U22" sqref="U22"/>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8" width="15.85546875" style="66" customWidth="1"/>
    <col min="9" max="12" width="12.85546875" style="66" customWidth="1"/>
    <col min="13" max="13" width="12.42578125" style="66" customWidth="1"/>
    <col min="14" max="14" width="28.42578125" style="66" customWidth="1"/>
    <col min="15" max="18" width="14.85546875" style="66" customWidth="1"/>
    <col min="19" max="20" width="13.5703125" style="66" customWidth="1"/>
    <col min="21" max="16384" width="8.7109375" style="66"/>
  </cols>
  <sheetData>
    <row r="1" spans="2:22" ht="21" x14ac:dyDescent="0.35">
      <c r="C1" s="83" t="s">
        <v>1</v>
      </c>
    </row>
    <row r="2" spans="2:22" ht="21" x14ac:dyDescent="0.35">
      <c r="C2" s="83" t="s">
        <v>471</v>
      </c>
      <c r="M2" s="68"/>
      <c r="T2" s="67"/>
    </row>
    <row r="3" spans="2:22" ht="15.75" x14ac:dyDescent="0.25">
      <c r="C3" s="67"/>
      <c r="M3" s="68"/>
      <c r="T3" s="67"/>
    </row>
    <row r="4" spans="2:22" ht="21" x14ac:dyDescent="0.35">
      <c r="C4" s="84" t="s">
        <v>83</v>
      </c>
      <c r="D4" s="85"/>
      <c r="E4" s="85"/>
      <c r="F4" s="85"/>
      <c r="G4" s="85"/>
      <c r="H4" s="85"/>
      <c r="I4" s="85"/>
      <c r="J4" s="85"/>
      <c r="K4" s="85"/>
      <c r="L4" s="85"/>
      <c r="N4" s="84" t="s">
        <v>29</v>
      </c>
      <c r="T4" s="67"/>
    </row>
    <row r="5" spans="2:22" ht="21" x14ac:dyDescent="0.35">
      <c r="C5" s="85"/>
      <c r="D5" s="85"/>
      <c r="E5" s="85"/>
      <c r="F5" s="85"/>
      <c r="G5" s="85"/>
      <c r="H5" s="85"/>
      <c r="I5" s="85"/>
      <c r="J5" s="85"/>
      <c r="K5" s="85"/>
      <c r="L5" s="85"/>
      <c r="N5" s="83"/>
      <c r="T5" s="67"/>
    </row>
    <row r="6" spans="2:22" ht="21" x14ac:dyDescent="0.35">
      <c r="C6" s="83" t="s">
        <v>84</v>
      </c>
      <c r="D6" s="85"/>
      <c r="E6" s="85"/>
      <c r="F6" s="85"/>
      <c r="G6" s="85"/>
      <c r="H6" s="85"/>
      <c r="I6" s="85"/>
      <c r="J6" s="85"/>
      <c r="K6" s="85"/>
      <c r="L6" s="85"/>
      <c r="N6" s="83" t="s">
        <v>84</v>
      </c>
      <c r="T6" s="67"/>
    </row>
    <row r="7" spans="2:22" ht="15.75" x14ac:dyDescent="0.25">
      <c r="C7" s="67"/>
      <c r="M7" s="68"/>
      <c r="T7" s="67"/>
    </row>
    <row r="8" spans="2:22" ht="38.25" x14ac:dyDescent="0.25">
      <c r="C8" s="592" t="s">
        <v>85</v>
      </c>
      <c r="D8" s="593" t="s">
        <v>23</v>
      </c>
      <c r="E8" s="411" t="s">
        <v>86</v>
      </c>
      <c r="F8" s="411" t="s">
        <v>87</v>
      </c>
      <c r="G8" s="411" t="s">
        <v>88</v>
      </c>
      <c r="H8" s="411" t="s">
        <v>89</v>
      </c>
      <c r="I8" s="411" t="s">
        <v>90</v>
      </c>
      <c r="J8" s="291"/>
      <c r="K8" s="291"/>
      <c r="L8" s="291"/>
      <c r="M8" s="1"/>
      <c r="N8" s="592" t="s">
        <v>85</v>
      </c>
      <c r="O8" s="592" t="s">
        <v>23</v>
      </c>
      <c r="P8" s="411" t="s">
        <v>91</v>
      </c>
      <c r="Q8" s="411" t="s">
        <v>92</v>
      </c>
      <c r="R8" s="411" t="s">
        <v>93</v>
      </c>
      <c r="S8" s="411" t="s">
        <v>94</v>
      </c>
      <c r="T8" s="411" t="s">
        <v>95</v>
      </c>
      <c r="V8" s="67"/>
    </row>
    <row r="9" spans="2:22" ht="27" x14ac:dyDescent="0.25">
      <c r="C9" s="592"/>
      <c r="D9" s="593"/>
      <c r="E9" s="411" t="s">
        <v>150</v>
      </c>
      <c r="F9" s="411" t="s">
        <v>151</v>
      </c>
      <c r="G9" s="411" t="s">
        <v>152</v>
      </c>
      <c r="H9" s="411" t="s">
        <v>152</v>
      </c>
      <c r="I9" s="411" t="s">
        <v>153</v>
      </c>
      <c r="J9" s="291"/>
      <c r="K9" s="291"/>
      <c r="L9" s="291"/>
      <c r="M9" s="1"/>
      <c r="N9" s="592"/>
      <c r="O9" s="592"/>
      <c r="P9" s="411" t="s">
        <v>100</v>
      </c>
      <c r="Q9" s="411" t="s">
        <v>154</v>
      </c>
      <c r="R9" s="411" t="s">
        <v>503</v>
      </c>
      <c r="S9" s="411" t="s">
        <v>155</v>
      </c>
      <c r="T9" s="411" t="s">
        <v>504</v>
      </c>
      <c r="V9" s="67"/>
    </row>
    <row r="10" spans="2:22" ht="15.75" x14ac:dyDescent="0.25">
      <c r="C10" s="88" t="s">
        <v>30</v>
      </c>
      <c r="D10" s="594" t="s">
        <v>103</v>
      </c>
      <c r="E10" s="316">
        <f>INDEX('Inhalation Exposures'!$I$37:$I$44, MATCH('1,1-DCA_test order_max_LBT'!$C$2, 'Inhalation Exposures'!$A$37:$A$44, 0))</f>
        <v>3.3E-3</v>
      </c>
      <c r="F10" s="316">
        <f>INDEX('Inhalation Exposures'!$K$37:$K$44, MATCH('1,1-DCA_test order_max_LBT'!$C$2, 'Inhalation Exposures'!$A$37:$A$44, 0))</f>
        <v>2.2448979591836735E-3</v>
      </c>
      <c r="G10" s="316">
        <f>INDEX('Inhalation Exposures'!$M$37:$M$44, MATCH('1,1-DCA_test order_max_LBT'!$C$2, 'Inhalation Exposures'!$A$37:$A$44, 0))</f>
        <v>1.6462585034013606E-3</v>
      </c>
      <c r="H10" s="316">
        <f>INDEX('Inhalation Exposures'!$O$37:$O$44, MATCH('1,1-DCA_test order_max_LBT'!$C$2, 'Inhalation Exposures'!$A$37:$A$44, 0))</f>
        <v>1.5376013419066258E-3</v>
      </c>
      <c r="I10" s="316">
        <f>INDEX('Inhalation Exposures'!$Q$37:$Q$44, MATCH('1,1-DCA_test order_max_LBT'!$C$2, 'Inhalation Exposures'!$A$37:$A$44, 0))</f>
        <v>7.8851350867006453E-4</v>
      </c>
      <c r="J10" s="329"/>
      <c r="K10" s="329"/>
      <c r="L10" s="329"/>
      <c r="M10" s="1"/>
      <c r="N10" s="595" t="s">
        <v>104</v>
      </c>
      <c r="O10" s="72" t="s">
        <v>103</v>
      </c>
      <c r="P10" s="316">
        <f>IFERROR(INDEX('Dermal Exposures'!$J$19:$J$27, MATCH('1,1-DCA_test order_max_LBT'!$C$2, 'Dermal Exposures'!$A$19:$A$27, 0)), "")</f>
        <v>2.0223</v>
      </c>
      <c r="Q10" s="316">
        <f>IFERROR(INDEX('Dermal Exposures'!$K$19:$K$27, MATCH('1,1-DCA_test order_max_LBT'!$C$2, 'Dermal Exposures'!$A$19:$A$27, 0)), "")</f>
        <v>2.5278749999999999E-2</v>
      </c>
      <c r="R10" s="316">
        <f>IFERROR(INDEX('Dermal Exposures'!$L$19:$L$27, MATCH('1,1-DCA_test order_max_LBT'!$C$2, 'Dermal Exposures'!$A$19:$A$27, 0)), "")</f>
        <v>1.8537750000000002E-2</v>
      </c>
      <c r="S10" s="316">
        <f>IFERROR(INDEX('Dermal Exposures'!$M$19:$M$27, MATCH('1,1-DCA_test order_max_LBT'!$C$2, 'Dermal Exposures'!$A$19:$A$27, 0)), "")</f>
        <v>1.7314212328767124E-2</v>
      </c>
      <c r="T10" s="316">
        <f>IFERROR(INDEX('Dermal Exposures'!$N$19:$N$27, MATCH('1,1-DCA_test order_max_LBT'!$C$2, 'Dermal Exposures'!$A$19:$A$27, 0)), "")</f>
        <v>8.8790832455216007E-3</v>
      </c>
      <c r="V10" s="67"/>
    </row>
    <row r="11" spans="2:22" ht="15.75" x14ac:dyDescent="0.25">
      <c r="C11" s="88" t="s">
        <v>28</v>
      </c>
      <c r="D11" s="594"/>
      <c r="E11" s="316">
        <f>INDEX('Inhalation Exposures'!$I$50:$I$58, MATCH('1,1-DCA_test order_max_LBT'!$C$2, 'Inhalation Exposures'!$A$50:$A$58, 0))</f>
        <v>4.5661979166666672E-3</v>
      </c>
      <c r="F11" s="316">
        <f>INDEX('Inhalation Exposures'!$K$50:$K$58, MATCH('1,1-DCA_test order_max_LBT'!$C$2, 'Inhalation Exposures'!$A$50:$A$58, 0))</f>
        <v>3.106257086167801E-3</v>
      </c>
      <c r="G11" s="316">
        <f>INDEX('Inhalation Exposures'!$M$50:$M$58, MATCH('1,1-DCA_test order_max_LBT'!$C$2, 'Inhalation Exposures'!$A$50:$A$58, 0))</f>
        <v>2.2779218631897207E-3</v>
      </c>
      <c r="H11" s="316">
        <f>INDEX('Inhalation Exposures'!$O$50:$O$58, MATCH('1,1-DCA_test order_max_LBT'!$C$2, 'Inhalation Exposures'!$A$50:$A$58, 0))</f>
        <v>2.1275733466902744E-3</v>
      </c>
      <c r="I11" s="316">
        <f>INDEX('Inhalation Exposures'!$Q$50:$Q$58, MATCH('1,1-DCA_test order_max_LBT'!$C$2, 'Inhalation Exposures'!$A$50:$A$58, 0))</f>
        <v>1.0910632547129612E-3</v>
      </c>
      <c r="J11" s="329"/>
      <c r="K11" s="329"/>
      <c r="L11" s="329"/>
      <c r="M11" s="1"/>
      <c r="N11" s="595"/>
      <c r="O11" s="72" t="s">
        <v>27</v>
      </c>
      <c r="P11" s="316">
        <f>IFERROR(INDEX('Dermal Exposures'!$O$19:$O$27, MATCH('1,1-DCA_test order_max_LBT'!$C$2, 'Dermal Exposures'!$A$19:$A$27, 0)), "")</f>
        <v>0.67410000000000003</v>
      </c>
      <c r="Q11" s="316">
        <f>IFERROR(INDEX('Dermal Exposures'!$P$19:$P$27, MATCH('1,1-DCA_test order_max_LBT'!$C$2, 'Dermal Exposures'!$A$19:$A$27, 0)), "")</f>
        <v>8.4262499999999997E-3</v>
      </c>
      <c r="R11" s="316">
        <f>IFERROR(INDEX('Dermal Exposures'!$Q$19:$Q$27, MATCH('1,1-DCA_test order_max_LBT'!$C$2, 'Dermal Exposures'!$A$19:$A$27, 0)), "")</f>
        <v>6.1792499999999998E-3</v>
      </c>
      <c r="S11" s="316">
        <f>IFERROR(INDEX('Dermal Exposures'!$R$19:$R$27, MATCH('1,1-DCA_test order_max_LBT'!$C$2, 'Dermal Exposures'!$A$19:$A$27, 0)), "")</f>
        <v>5.7714041095890409E-3</v>
      </c>
      <c r="T11" s="316">
        <f>IFERROR(INDEX('Dermal Exposures'!$S$19:$S$27, MATCH('1,1-DCA_test order_max_LBT'!$C$2, 'Dermal Exposures'!$A$19:$A$27, 0)), "")</f>
        <v>2.2937631717597469E-3</v>
      </c>
      <c r="V11" s="67"/>
    </row>
    <row r="12" spans="2:22" ht="15.75" x14ac:dyDescent="0.25">
      <c r="C12" s="88" t="s">
        <v>30</v>
      </c>
      <c r="D12" s="591" t="s">
        <v>27</v>
      </c>
      <c r="E12" s="316">
        <f>INDEX('Inhalation Exposures'!$J$37:$J$44, MATCH('1,1-DCA_test order_max_LBT'!$C$2, 'Inhalation Exposures'!$A$37:$A$44, 0))</f>
        <v>1.6000000000000001E-4</v>
      </c>
      <c r="F12" s="316">
        <f>INDEX('Inhalation Exposures'!$L$37:$L$44, MATCH('1,1-DCA_test order_max_LBT'!$C$2, 'Inhalation Exposures'!$A$37:$A$44, 0))</f>
        <v>1.08843537414966E-4</v>
      </c>
      <c r="G12" s="316">
        <f>INDEX('Inhalation Exposures'!$N$37:$N$44, MATCH('1,1-DCA_test order_max_LBT'!$C$2, 'Inhalation Exposures'!$A$37:$A$44, 0))</f>
        <v>7.9818594104308393E-5</v>
      </c>
      <c r="H12" s="316">
        <f>INDEX('Inhalation Exposures'!$P$37:$P$44, MATCH('1,1-DCA_test order_max_LBT'!$C$2, 'Inhalation Exposures'!$A$37:$A$44, 0))</f>
        <v>7.4550368092442455E-5</v>
      </c>
      <c r="I12" s="316">
        <f>INDEX('Inhalation Exposures'!$R$37:$R$44, MATCH('1,1-DCA_test order_max_LBT'!$C$2, 'Inhalation Exposures'!$A$37:$A$44, 0))</f>
        <v>2.9628992446996361E-5</v>
      </c>
      <c r="J12" s="329"/>
      <c r="K12" s="329"/>
      <c r="L12" s="329"/>
      <c r="M12" s="1"/>
      <c r="N12" s="565" t="str">
        <f>_xlfn.CONCAT("Worker with Gloves; 
PF of ",'List Values'!$B$16)</f>
        <v>Worker with Gloves; 
PF of 5</v>
      </c>
      <c r="O12" s="71" t="s">
        <v>103</v>
      </c>
      <c r="P12" s="316">
        <f>P10/'List Values'!$B$16</f>
        <v>0.40445999999999999</v>
      </c>
      <c r="Q12" s="316">
        <f>Q10/'List Values'!$B$16</f>
        <v>5.0557499999999995E-3</v>
      </c>
      <c r="R12" s="316">
        <f>R10/'List Values'!$B$16</f>
        <v>3.7075500000000004E-3</v>
      </c>
      <c r="S12" s="316">
        <f>S10/'List Values'!$B$16</f>
        <v>3.4628424657534248E-3</v>
      </c>
      <c r="T12" s="316">
        <f>T10/'List Values'!$B$16</f>
        <v>1.7758166491043201E-3</v>
      </c>
      <c r="U12" s="67"/>
    </row>
    <row r="13" spans="2:22" ht="15.75" x14ac:dyDescent="0.25">
      <c r="C13" s="88" t="s">
        <v>28</v>
      </c>
      <c r="D13" s="591"/>
      <c r="E13" s="316">
        <f>INDEX('Inhalation Exposures'!$J$50:$J$58, MATCH('1,1-DCA_test order_max_LBT'!$C$2, 'Inhalation Exposures'!$A$50:$A$58, 0))</f>
        <v>6.9401041666666667E-5</v>
      </c>
      <c r="F13" s="316">
        <f>INDEX('Inhalation Exposures'!$L$50:$L$58, MATCH('1,1-DCA_test order_max_LBT'!$C$2, 'Inhalation Exposures'!$A$50:$A$58, 0))</f>
        <v>4.721159297052154E-5</v>
      </c>
      <c r="G13" s="316">
        <f>INDEX('Inhalation Exposures'!$N$50:$N$58, MATCH('1,1-DCA_test order_max_LBT'!$C$2, 'Inhalation Exposures'!$A$50:$A$58, 0))</f>
        <v>3.4621834845049136E-5</v>
      </c>
      <c r="H13" s="316">
        <f>INDEX('Inhalation Exposures'!$P$50:$P$58, MATCH('1,1-DCA_test order_max_LBT'!$C$2, 'Inhalation Exposures'!$A$50:$A$58, 0))</f>
        <v>3.233670751405585E-5</v>
      </c>
      <c r="I13" s="316">
        <f>INDEX('Inhalation Exposures'!$R$50:$R$58, MATCH('1,1-DCA_test order_max_LBT'!$C$2, 'Inhalation Exposures'!$A$50:$A$58, 0))</f>
        <v>1.2851768370970914E-5</v>
      </c>
      <c r="J13" s="329"/>
      <c r="K13" s="329"/>
      <c r="L13" s="329"/>
      <c r="M13" s="1"/>
      <c r="N13" s="565"/>
      <c r="O13" s="71" t="s">
        <v>27</v>
      </c>
      <c r="P13" s="316">
        <f>P11/'List Values'!$B$16</f>
        <v>0.13482</v>
      </c>
      <c r="Q13" s="316">
        <f>Q11/'List Values'!$B$16</f>
        <v>1.6852499999999999E-3</v>
      </c>
      <c r="R13" s="316">
        <f>R11/'List Values'!$B$16</f>
        <v>1.2358499999999999E-3</v>
      </c>
      <c r="S13" s="316">
        <f>S11/'List Values'!$B$16</f>
        <v>1.1542808219178083E-3</v>
      </c>
      <c r="T13" s="316">
        <f>T11/'List Values'!$B$16</f>
        <v>4.5875263435194937E-4</v>
      </c>
      <c r="U13" s="67"/>
    </row>
    <row r="14" spans="2:22" x14ac:dyDescent="0.2">
      <c r="N14" s="565" t="str">
        <f>_xlfn.CONCAT("Worker with Gloves; 
PF of ",'List Values'!$B$17)</f>
        <v>Worker with Gloves; 
PF of 10</v>
      </c>
      <c r="O14" s="71" t="s">
        <v>103</v>
      </c>
      <c r="P14" s="316">
        <f>P10/'List Values'!$B$17</f>
        <v>0.20222999999999999</v>
      </c>
      <c r="Q14" s="316">
        <f>Q10/'List Values'!$B$17</f>
        <v>2.5278749999999997E-3</v>
      </c>
      <c r="R14" s="316">
        <f>R10/'List Values'!$B$17</f>
        <v>1.8537750000000002E-3</v>
      </c>
      <c r="S14" s="316">
        <f>S10/'List Values'!$B$17</f>
        <v>1.7314212328767124E-3</v>
      </c>
      <c r="T14" s="316">
        <f>T10/'List Values'!$B$17</f>
        <v>8.8790832455216007E-4</v>
      </c>
    </row>
    <row r="15" spans="2:22" ht="21" x14ac:dyDescent="0.35">
      <c r="C15" s="83" t="s">
        <v>105</v>
      </c>
      <c r="N15" s="565"/>
      <c r="O15" s="71" t="s">
        <v>27</v>
      </c>
      <c r="P15" s="316">
        <f>P11/'List Values'!$B$17</f>
        <v>6.7409999999999998E-2</v>
      </c>
      <c r="Q15" s="316">
        <f>Q11/'List Values'!$B$17</f>
        <v>8.4262499999999995E-4</v>
      </c>
      <c r="R15" s="316">
        <f>R11/'List Values'!$B$17</f>
        <v>6.1792499999999996E-4</v>
      </c>
      <c r="S15" s="316">
        <f>S11/'List Values'!$B$17</f>
        <v>5.7714041095890413E-4</v>
      </c>
      <c r="T15" s="316">
        <f>T11/'List Values'!$B$17</f>
        <v>2.2937631717597469E-4</v>
      </c>
    </row>
    <row r="16" spans="2:22" ht="28.5" customHeight="1" x14ac:dyDescent="0.2">
      <c r="B16" s="70"/>
      <c r="C16" s="568" t="s">
        <v>106</v>
      </c>
      <c r="D16" s="568" t="s">
        <v>107</v>
      </c>
      <c r="E16" s="568" t="s">
        <v>23</v>
      </c>
      <c r="F16" s="568" t="s">
        <v>108</v>
      </c>
      <c r="G16" s="568" t="s">
        <v>109</v>
      </c>
      <c r="H16" s="568"/>
      <c r="I16" s="90"/>
      <c r="J16" s="90"/>
      <c r="K16" s="90"/>
      <c r="L16" s="90"/>
      <c r="N16" s="565" t="str">
        <f>_xlfn.CONCAT("Worker with Gloves; 
PF of ",'List Values'!$B$18)</f>
        <v>Worker with Gloves; 
PF of 20</v>
      </c>
      <c r="O16" s="71" t="s">
        <v>103</v>
      </c>
      <c r="P16" s="316">
        <f>P10/'List Values'!$B$18</f>
        <v>0.101115</v>
      </c>
      <c r="Q16" s="316">
        <f>Q10/'List Values'!$B$18</f>
        <v>1.2639374999999999E-3</v>
      </c>
      <c r="R16" s="316">
        <f>R10/'List Values'!$B$18</f>
        <v>9.2688750000000011E-4</v>
      </c>
      <c r="S16" s="316">
        <f>S10/'List Values'!$B$18</f>
        <v>8.657106164383562E-4</v>
      </c>
      <c r="T16" s="316">
        <f>T10/'List Values'!$B$18</f>
        <v>4.4395416227608004E-4</v>
      </c>
    </row>
    <row r="17" spans="2:20" ht="26.1" customHeight="1" x14ac:dyDescent="0.2">
      <c r="B17" s="70"/>
      <c r="C17" s="568"/>
      <c r="D17" s="568"/>
      <c r="E17" s="568"/>
      <c r="F17" s="568"/>
      <c r="G17" s="413" t="s">
        <v>110</v>
      </c>
      <c r="H17" s="413" t="s">
        <v>111</v>
      </c>
      <c r="I17" s="90"/>
      <c r="J17" s="90"/>
      <c r="K17" s="90"/>
      <c r="L17" s="90"/>
      <c r="N17" s="565"/>
      <c r="O17" s="71" t="s">
        <v>27</v>
      </c>
      <c r="P17" s="316">
        <f>P11/'List Values'!$B$18</f>
        <v>3.3704999999999999E-2</v>
      </c>
      <c r="Q17" s="316">
        <f>Q11/'List Values'!$B$18</f>
        <v>4.2131249999999997E-4</v>
      </c>
      <c r="R17" s="316">
        <f>R11/'List Values'!$B$18</f>
        <v>3.0896249999999998E-4</v>
      </c>
      <c r="S17" s="316">
        <f>S11/'List Values'!$B$18</f>
        <v>2.8857020547945207E-4</v>
      </c>
      <c r="T17" s="316">
        <f>T11/'List Values'!$B$18</f>
        <v>1.1468815858798734E-4</v>
      </c>
    </row>
    <row r="18" spans="2:20" ht="27.6" customHeight="1" x14ac:dyDescent="0.2">
      <c r="B18" s="70"/>
      <c r="C18" s="587" t="s">
        <v>112</v>
      </c>
      <c r="D18" s="580">
        <f>INDEX('Health Data'!$G:$G,MATCH($C$2,'Health Data'!$B:$B,0))</f>
        <v>2.4163399353274051</v>
      </c>
      <c r="E18" s="71" t="s">
        <v>103</v>
      </c>
      <c r="F18" s="412">
        <v>30</v>
      </c>
      <c r="G18" s="101">
        <f>D18/$F$10</f>
        <v>1076.3696075549349</v>
      </c>
      <c r="H18" s="102">
        <f>D18/$F$11</f>
        <v>777.89438166190268</v>
      </c>
      <c r="I18" s="77"/>
      <c r="J18" s="77"/>
      <c r="K18" s="77"/>
      <c r="L18" s="77"/>
    </row>
    <row r="19" spans="2:20" ht="25.5" customHeight="1" x14ac:dyDescent="0.35">
      <c r="B19" s="70"/>
      <c r="C19" s="588"/>
      <c r="D19" s="555"/>
      <c r="E19" s="71" t="s">
        <v>27</v>
      </c>
      <c r="F19" s="412">
        <v>30</v>
      </c>
      <c r="G19" s="101">
        <f>D18/$F$12</f>
        <v>22200.123155820529</v>
      </c>
      <c r="H19" s="102">
        <f>D18/$F$13</f>
        <v>51181.071920961112</v>
      </c>
      <c r="I19" s="77"/>
      <c r="J19" s="77"/>
      <c r="K19" s="77"/>
      <c r="L19" s="77"/>
      <c r="N19" s="83" t="s">
        <v>113</v>
      </c>
    </row>
    <row r="20" spans="2:20" ht="25.5" x14ac:dyDescent="0.2">
      <c r="B20" s="73"/>
      <c r="C20" s="74"/>
      <c r="D20" s="96"/>
      <c r="E20" s="76"/>
      <c r="F20" s="75"/>
      <c r="G20" s="77"/>
      <c r="H20" s="77"/>
      <c r="I20" s="77"/>
      <c r="J20" s="77"/>
      <c r="K20" s="77"/>
      <c r="L20" s="77"/>
      <c r="N20" s="570" t="s">
        <v>106</v>
      </c>
      <c r="O20" s="570" t="s">
        <v>114</v>
      </c>
      <c r="P20" s="570" t="s">
        <v>23</v>
      </c>
      <c r="Q20" s="570" t="s">
        <v>108</v>
      </c>
      <c r="R20" s="411" t="s">
        <v>109</v>
      </c>
    </row>
    <row r="21" spans="2:20" ht="25.5" customHeight="1" x14ac:dyDescent="0.2">
      <c r="B21" s="73"/>
      <c r="C21" s="98" t="s">
        <v>115</v>
      </c>
      <c r="D21" s="96"/>
      <c r="E21" s="76"/>
      <c r="F21" s="75"/>
      <c r="G21" s="77"/>
      <c r="H21" s="77"/>
      <c r="I21" s="77"/>
      <c r="J21" s="77"/>
      <c r="K21" s="77"/>
      <c r="L21" s="77"/>
      <c r="N21" s="571"/>
      <c r="O21" s="571"/>
      <c r="P21" s="571"/>
      <c r="Q21" s="571"/>
      <c r="R21" s="422" t="s">
        <v>116</v>
      </c>
    </row>
    <row r="22" spans="2:20" ht="25.5" customHeight="1" x14ac:dyDescent="0.2">
      <c r="B22" s="73"/>
      <c r="C22" s="568" t="s">
        <v>106</v>
      </c>
      <c r="D22" s="568" t="s">
        <v>107</v>
      </c>
      <c r="E22" s="569" t="s">
        <v>23</v>
      </c>
      <c r="F22" s="568" t="s">
        <v>108</v>
      </c>
      <c r="G22" s="568" t="s">
        <v>117</v>
      </c>
      <c r="H22" s="568"/>
      <c r="I22" s="77"/>
      <c r="J22" s="77"/>
      <c r="K22" s="77"/>
      <c r="L22" s="77"/>
      <c r="N22" s="587" t="s">
        <v>118</v>
      </c>
      <c r="O22" s="589">
        <f>INDEX('Health Data'!$K:$K,MATCH($C$2,'Health Data'!$B:$B,0))</f>
        <v>19.899999999999999</v>
      </c>
      <c r="P22" s="72" t="s">
        <v>103</v>
      </c>
      <c r="Q22" s="412">
        <v>30</v>
      </c>
      <c r="R22" s="101">
        <f>IFERROR(O22/Q10, "")</f>
        <v>787.22246946546011</v>
      </c>
    </row>
    <row r="23" spans="2:20" ht="25.5" customHeight="1" x14ac:dyDescent="0.2">
      <c r="B23" s="73"/>
      <c r="C23" s="582"/>
      <c r="D23" s="582"/>
      <c r="E23" s="586"/>
      <c r="F23" s="582"/>
      <c r="G23" s="415" t="s">
        <v>110</v>
      </c>
      <c r="H23" s="415" t="s">
        <v>111</v>
      </c>
      <c r="I23" s="77"/>
      <c r="J23" s="77"/>
      <c r="K23" s="77"/>
      <c r="L23" s="77"/>
      <c r="N23" s="588"/>
      <c r="O23" s="590"/>
      <c r="P23" s="72" t="s">
        <v>27</v>
      </c>
      <c r="Q23" s="412">
        <v>30</v>
      </c>
      <c r="R23" s="101">
        <f>IFERROR(O22/Q11, "")</f>
        <v>2361.6674083963803</v>
      </c>
    </row>
    <row r="24" spans="2:20" ht="25.5" customHeight="1" x14ac:dyDescent="0.2">
      <c r="B24" s="73"/>
      <c r="C24" s="577" t="s">
        <v>149</v>
      </c>
      <c r="D24" s="578">
        <v>22</v>
      </c>
      <c r="E24" s="71" t="s">
        <v>103</v>
      </c>
      <c r="F24" s="412">
        <v>30</v>
      </c>
      <c r="G24" s="419">
        <f>D24/$G$10</f>
        <v>13363.636363636364</v>
      </c>
      <c r="H24" s="419">
        <f>D24/$G$11</f>
        <v>9657.925653865017</v>
      </c>
      <c r="I24" s="77"/>
      <c r="J24" s="77"/>
      <c r="K24" s="77"/>
      <c r="L24" s="77"/>
      <c r="N24" s="74"/>
      <c r="O24" s="75"/>
      <c r="P24" s="81"/>
      <c r="Q24" s="75"/>
      <c r="R24" s="77"/>
    </row>
    <row r="25" spans="2:20" ht="25.5" customHeight="1" thickBot="1" x14ac:dyDescent="0.25">
      <c r="B25" s="73"/>
      <c r="C25" s="577"/>
      <c r="D25" s="559"/>
      <c r="E25" s="71" t="s">
        <v>27</v>
      </c>
      <c r="F25" s="412">
        <v>30</v>
      </c>
      <c r="G25" s="419">
        <f>D24/$G$12</f>
        <v>275625</v>
      </c>
      <c r="H25" s="419">
        <f>D24/$G$13</f>
        <v>635437.14821763593</v>
      </c>
      <c r="I25" s="77"/>
      <c r="J25" s="77"/>
      <c r="K25" s="77"/>
      <c r="L25" s="77"/>
      <c r="N25" s="97" t="s">
        <v>120</v>
      </c>
      <c r="O25" s="75"/>
      <c r="P25" s="81"/>
      <c r="Q25" s="75"/>
      <c r="R25" s="77"/>
    </row>
    <row r="26" spans="2:20" ht="38.25" x14ac:dyDescent="0.2">
      <c r="B26" s="73"/>
      <c r="C26" s="74"/>
      <c r="D26" s="96"/>
      <c r="E26" s="76"/>
      <c r="F26" s="75"/>
      <c r="G26" s="77"/>
      <c r="H26" s="77"/>
      <c r="I26" s="77"/>
      <c r="J26" s="77"/>
      <c r="K26" s="77"/>
      <c r="L26" s="77"/>
      <c r="N26" s="568" t="s">
        <v>106</v>
      </c>
      <c r="O26" s="568" t="s">
        <v>121</v>
      </c>
      <c r="P26" s="569" t="s">
        <v>23</v>
      </c>
      <c r="Q26" s="568" t="s">
        <v>108</v>
      </c>
      <c r="R26" s="413" t="s">
        <v>117</v>
      </c>
    </row>
    <row r="27" spans="2:20" s="85" customFormat="1" ht="25.5" x14ac:dyDescent="0.35">
      <c r="B27" s="83"/>
      <c r="C27" s="83" t="s">
        <v>122</v>
      </c>
      <c r="F27" s="86"/>
      <c r="N27" s="568"/>
      <c r="O27" s="568"/>
      <c r="P27" s="569"/>
      <c r="Q27" s="568"/>
      <c r="R27" s="413" t="s">
        <v>116</v>
      </c>
      <c r="S27" s="66"/>
      <c r="T27" s="66"/>
    </row>
    <row r="28" spans="2:20" ht="26.1" customHeight="1" x14ac:dyDescent="0.2">
      <c r="B28" s="79"/>
      <c r="C28" s="568" t="s">
        <v>106</v>
      </c>
      <c r="D28" s="568" t="s">
        <v>107</v>
      </c>
      <c r="E28" s="568" t="s">
        <v>23</v>
      </c>
      <c r="F28" s="568" t="s">
        <v>108</v>
      </c>
      <c r="G28" s="568" t="s">
        <v>123</v>
      </c>
      <c r="H28" s="568"/>
      <c r="I28" s="90"/>
      <c r="J28" s="90"/>
      <c r="K28" s="90"/>
      <c r="L28" s="90"/>
      <c r="N28" s="579" t="s">
        <v>124</v>
      </c>
      <c r="O28" s="580">
        <f>INDEX('Health Data'!$T:$T,MATCH($C$2,'Health Data'!$B:$B,0))</f>
        <v>6.5</v>
      </c>
      <c r="P28" s="72" t="s">
        <v>103</v>
      </c>
      <c r="Q28" s="412">
        <v>30</v>
      </c>
      <c r="R28" s="107">
        <f>IFERROR(O28/$R$10, "")</f>
        <v>350.6358646545562</v>
      </c>
    </row>
    <row r="29" spans="2:20" x14ac:dyDescent="0.2">
      <c r="B29" s="79"/>
      <c r="C29" s="568"/>
      <c r="D29" s="568"/>
      <c r="E29" s="568"/>
      <c r="F29" s="568"/>
      <c r="G29" s="413" t="s">
        <v>110</v>
      </c>
      <c r="H29" s="413" t="s">
        <v>111</v>
      </c>
      <c r="I29" s="90"/>
      <c r="J29" s="90"/>
      <c r="K29" s="90"/>
      <c r="L29" s="90"/>
      <c r="N29" s="579"/>
      <c r="O29" s="555"/>
      <c r="P29" s="72" t="s">
        <v>27</v>
      </c>
      <c r="Q29" s="412">
        <v>30</v>
      </c>
      <c r="R29" s="107">
        <f>IFERROR(O28/$R$11, "")</f>
        <v>1051.9075939636687</v>
      </c>
    </row>
    <row r="30" spans="2:20" ht="33" customHeight="1" x14ac:dyDescent="0.2">
      <c r="B30" s="79"/>
      <c r="C30" s="577" t="s">
        <v>149</v>
      </c>
      <c r="D30" s="578">
        <f>INDEX('Health Data'!$P:$P,MATCH($C$2,'Health Data'!$B:$B,0))</f>
        <v>5.2378738884397729</v>
      </c>
      <c r="E30" s="72" t="s">
        <v>103</v>
      </c>
      <c r="F30" s="412">
        <v>300</v>
      </c>
      <c r="G30" s="419">
        <f>D30/$H$10</f>
        <v>3406.5227088998299</v>
      </c>
      <c r="H30" s="419">
        <f>D30/$H$11</f>
        <v>2461.9005011451136</v>
      </c>
      <c r="I30" s="77"/>
      <c r="J30" s="77"/>
      <c r="K30" s="77"/>
      <c r="L30" s="77"/>
      <c r="N30" s="74"/>
      <c r="O30" s="75"/>
      <c r="P30" s="81"/>
      <c r="Q30" s="75"/>
      <c r="R30" s="77"/>
    </row>
    <row r="31" spans="2:20" ht="33" customHeight="1" x14ac:dyDescent="0.35">
      <c r="B31" s="79"/>
      <c r="C31" s="577"/>
      <c r="D31" s="559"/>
      <c r="E31" s="72" t="s">
        <v>27</v>
      </c>
      <c r="F31" s="412">
        <v>300</v>
      </c>
      <c r="G31" s="419">
        <f>D30/$H$12</f>
        <v>70259.530871059003</v>
      </c>
      <c r="H31" s="419">
        <f>D30/$H$13</f>
        <v>161979.19612449777</v>
      </c>
      <c r="I31" s="77"/>
      <c r="J31" s="77"/>
      <c r="K31" s="77"/>
      <c r="L31" s="77"/>
      <c r="N31" s="83" t="s">
        <v>125</v>
      </c>
      <c r="O31" s="85"/>
      <c r="P31" s="85"/>
      <c r="Q31" s="85"/>
      <c r="R31" s="85"/>
      <c r="S31" s="85"/>
      <c r="T31" s="85"/>
    </row>
    <row r="32" spans="2:20" ht="25.5" x14ac:dyDescent="0.2">
      <c r="B32" s="79"/>
      <c r="C32" s="80"/>
      <c r="D32" s="75"/>
      <c r="E32" s="81"/>
      <c r="F32" s="75"/>
      <c r="G32" s="77"/>
      <c r="H32" s="77"/>
      <c r="I32" s="77"/>
      <c r="J32" s="77"/>
      <c r="K32" s="77"/>
      <c r="L32" s="77"/>
      <c r="N32" s="566" t="s">
        <v>106</v>
      </c>
      <c r="O32" s="566" t="s">
        <v>121</v>
      </c>
      <c r="P32" s="566" t="s">
        <v>23</v>
      </c>
      <c r="Q32" s="566" t="s">
        <v>108</v>
      </c>
      <c r="R32" s="411" t="s">
        <v>123</v>
      </c>
    </row>
    <row r="33" spans="2:20" ht="33" customHeight="1" x14ac:dyDescent="0.35">
      <c r="B33" s="79"/>
      <c r="C33" s="83" t="s">
        <v>126</v>
      </c>
      <c r="D33" s="85"/>
      <c r="E33" s="85"/>
      <c r="F33" s="85"/>
      <c r="G33" s="85"/>
      <c r="H33" s="85"/>
      <c r="I33" s="77"/>
      <c r="J33" s="77"/>
      <c r="K33" s="77"/>
      <c r="L33" s="77"/>
      <c r="N33" s="581"/>
      <c r="O33" s="567"/>
      <c r="P33" s="567"/>
      <c r="Q33" s="567"/>
      <c r="R33" s="411" t="s">
        <v>116</v>
      </c>
    </row>
    <row r="34" spans="2:20" ht="33" customHeight="1" x14ac:dyDescent="0.2">
      <c r="B34" s="79"/>
      <c r="C34" s="582" t="s">
        <v>127</v>
      </c>
      <c r="D34" s="566" t="s">
        <v>128</v>
      </c>
      <c r="E34" s="566" t="s">
        <v>23</v>
      </c>
      <c r="F34" s="583" t="s">
        <v>129</v>
      </c>
      <c r="G34" s="568" t="s">
        <v>130</v>
      </c>
      <c r="H34" s="568"/>
      <c r="I34" s="77"/>
      <c r="J34" s="77"/>
      <c r="K34" s="77"/>
      <c r="L34" s="77"/>
      <c r="N34" s="579" t="s">
        <v>124</v>
      </c>
      <c r="O34" s="580">
        <f>INDEX('Health Data'!$T:$T,MATCH($C$2,'Health Data'!$B:$B,0))</f>
        <v>6.5</v>
      </c>
      <c r="P34" s="72" t="s">
        <v>103</v>
      </c>
      <c r="Q34" s="412">
        <v>300</v>
      </c>
      <c r="R34" s="107">
        <f>IFERROR(O34/$S$10, "")</f>
        <v>375.41413242347824</v>
      </c>
    </row>
    <row r="35" spans="2:20" ht="33" customHeight="1" x14ac:dyDescent="0.2">
      <c r="B35" s="79"/>
      <c r="C35" s="530"/>
      <c r="D35" s="567"/>
      <c r="E35" s="567"/>
      <c r="F35" s="584"/>
      <c r="G35" s="413" t="s">
        <v>131</v>
      </c>
      <c r="H35" s="413" t="s">
        <v>28</v>
      </c>
      <c r="I35" s="77"/>
      <c r="J35" s="77"/>
      <c r="K35" s="77"/>
      <c r="L35" s="77"/>
      <c r="N35" s="579"/>
      <c r="O35" s="555"/>
      <c r="P35" s="72" t="s">
        <v>27</v>
      </c>
      <c r="Q35" s="412">
        <v>300</v>
      </c>
      <c r="R35" s="107">
        <f>IFERROR(O34/$S$11, "")</f>
        <v>1126.2423972704346</v>
      </c>
    </row>
    <row r="36" spans="2:20" ht="33" customHeight="1" x14ac:dyDescent="0.2">
      <c r="B36" s="79"/>
      <c r="C36" s="572" t="s">
        <v>132</v>
      </c>
      <c r="D36" s="574">
        <f>INDEX('Health Data'!$Y:$Y,MATCH($C$2,'Health Data'!$B:$B,0))</f>
        <v>2.8736850715746418E-2</v>
      </c>
      <c r="E36" s="71" t="s">
        <v>103</v>
      </c>
      <c r="F36" s="107">
        <v>1E-4</v>
      </c>
      <c r="G36" s="103">
        <f>I10*D36</f>
        <v>2.2659394986001064E-5</v>
      </c>
      <c r="H36" s="403">
        <f>I11*D36</f>
        <v>3.1353721872122776E-5</v>
      </c>
      <c r="I36" s="77"/>
      <c r="J36" s="77"/>
      <c r="K36" s="77"/>
      <c r="L36" s="77"/>
    </row>
    <row r="37" spans="2:20" ht="33" customHeight="1" x14ac:dyDescent="0.35">
      <c r="B37" s="79"/>
      <c r="C37" s="573"/>
      <c r="D37" s="575"/>
      <c r="E37" s="71" t="s">
        <v>27</v>
      </c>
      <c r="F37" s="107">
        <v>1E-4</v>
      </c>
      <c r="G37" s="105">
        <f>I12*D36</f>
        <v>8.5144393280731264E-7</v>
      </c>
      <c r="H37" s="403">
        <f>I13*D36</f>
        <v>3.693193491099427E-7</v>
      </c>
      <c r="I37" s="77"/>
      <c r="J37" s="77"/>
      <c r="K37" s="77"/>
      <c r="L37" s="77"/>
      <c r="N37" s="83" t="s">
        <v>126</v>
      </c>
      <c r="O37" s="85"/>
      <c r="P37" s="85"/>
      <c r="Q37" s="85"/>
      <c r="R37" s="85"/>
    </row>
    <row r="38" spans="2:20" ht="33" customHeight="1" x14ac:dyDescent="0.2">
      <c r="B38" s="79"/>
      <c r="I38" s="77"/>
      <c r="J38" s="77"/>
      <c r="K38" s="77"/>
      <c r="L38" s="77"/>
      <c r="N38" s="566" t="s">
        <v>127</v>
      </c>
      <c r="O38" s="566" t="s">
        <v>133</v>
      </c>
      <c r="P38" s="566" t="s">
        <v>23</v>
      </c>
      <c r="Q38" s="566" t="s">
        <v>129</v>
      </c>
      <c r="R38" s="411" t="s">
        <v>130</v>
      </c>
    </row>
    <row r="39" spans="2:20" ht="33" customHeight="1" x14ac:dyDescent="0.35">
      <c r="B39" s="79"/>
      <c r="C39" s="83" t="s">
        <v>134</v>
      </c>
      <c r="I39" s="77"/>
      <c r="J39" s="77"/>
      <c r="K39" s="77"/>
      <c r="L39" s="77"/>
      <c r="N39" s="567"/>
      <c r="O39" s="567"/>
      <c r="P39" s="567"/>
      <c r="Q39" s="567"/>
      <c r="R39" s="411" t="s">
        <v>135</v>
      </c>
    </row>
    <row r="40" spans="2:20" ht="33" customHeight="1" thickBot="1" x14ac:dyDescent="0.4">
      <c r="B40" s="79"/>
      <c r="C40" s="83"/>
      <c r="I40" s="77"/>
      <c r="J40" s="77"/>
      <c r="K40" s="77"/>
      <c r="L40" s="77"/>
      <c r="N40" s="572" t="s">
        <v>156</v>
      </c>
      <c r="O40" s="574" t="str">
        <f>INDEX('Health Data'!$AB:$AB,MATCH($C$2,'Health Data'!$B:$B,0))</f>
        <v>Not Quantified</v>
      </c>
      <c r="P40" s="71" t="s">
        <v>103</v>
      </c>
      <c r="Q40" s="580"/>
      <c r="R40" s="107" t="str">
        <f>IFERROR(T10*O40, "")</f>
        <v/>
      </c>
    </row>
    <row r="41" spans="2:20" ht="33" customHeight="1" x14ac:dyDescent="0.25">
      <c r="B41" s="79"/>
      <c r="C41" s="325" t="s">
        <v>136</v>
      </c>
      <c r="I41" s="77"/>
      <c r="J41" s="77"/>
      <c r="K41" s="77"/>
      <c r="L41" s="77"/>
      <c r="N41" s="576"/>
      <c r="O41" s="575"/>
      <c r="P41" s="71" t="s">
        <v>27</v>
      </c>
      <c r="Q41" s="555"/>
      <c r="R41" s="107" t="str">
        <f>IFERROR(T11*O40, "")</f>
        <v/>
      </c>
    </row>
    <row r="42" spans="2:20" ht="33" customHeight="1" thickBot="1" x14ac:dyDescent="0.3">
      <c r="B42" s="79"/>
      <c r="C42" s="326" t="s">
        <v>30</v>
      </c>
      <c r="I42" s="77"/>
      <c r="J42" s="77"/>
      <c r="K42" s="77"/>
      <c r="L42" s="77"/>
    </row>
    <row r="43" spans="2:20" ht="33" customHeight="1" x14ac:dyDescent="0.35">
      <c r="B43" s="79"/>
      <c r="C43" s="317"/>
      <c r="I43" s="77"/>
      <c r="J43" s="77"/>
      <c r="K43" s="77"/>
      <c r="L43" s="77"/>
      <c r="N43" s="83" t="s">
        <v>137</v>
      </c>
    </row>
    <row r="44" spans="2:20" ht="33" customHeight="1" thickBot="1" x14ac:dyDescent="0.25">
      <c r="B44" s="79"/>
      <c r="I44" s="77"/>
      <c r="J44" s="77"/>
      <c r="K44" s="77"/>
      <c r="L44" s="77"/>
    </row>
    <row r="45" spans="2:20" ht="33" customHeight="1" x14ac:dyDescent="0.2">
      <c r="B45" s="548" t="s">
        <v>138</v>
      </c>
      <c r="C45" s="540" t="s">
        <v>107</v>
      </c>
      <c r="D45" s="540" t="s">
        <v>23</v>
      </c>
      <c r="E45" s="540" t="s">
        <v>108</v>
      </c>
      <c r="F45" s="540" t="str">
        <f>_xlfn.CONCAT("Exposure Estimates: ",$C$42," MOE")</f>
        <v>Exposure Estimates: Worker MOE</v>
      </c>
      <c r="G45" s="540"/>
      <c r="H45" s="540"/>
      <c r="I45" s="540"/>
      <c r="J45" s="540"/>
      <c r="K45" s="542"/>
      <c r="L45" s="77"/>
      <c r="N45" s="532" t="s">
        <v>121</v>
      </c>
      <c r="O45" s="540" t="s">
        <v>23</v>
      </c>
      <c r="P45" s="540" t="s">
        <v>108</v>
      </c>
      <c r="Q45" s="540" t="str">
        <f>_xlfn.CONCAT("Exposure Estimates: ",$C$42," MOE")</f>
        <v>Exposure Estimates: Worker MOE</v>
      </c>
      <c r="R45" s="540"/>
      <c r="S45" s="540"/>
      <c r="T45" s="542"/>
    </row>
    <row r="46" spans="2:20" ht="33" customHeight="1" thickBot="1" x14ac:dyDescent="0.25">
      <c r="B46" s="549"/>
      <c r="C46" s="541"/>
      <c r="D46" s="541"/>
      <c r="E46" s="541"/>
      <c r="F46" s="416" t="s">
        <v>139</v>
      </c>
      <c r="G46" s="416" t="s">
        <v>34</v>
      </c>
      <c r="H46" s="416" t="s">
        <v>35</v>
      </c>
      <c r="I46" s="416" t="s">
        <v>32</v>
      </c>
      <c r="J46" s="416" t="s">
        <v>140</v>
      </c>
      <c r="K46" s="290" t="s">
        <v>31</v>
      </c>
      <c r="L46" s="77"/>
      <c r="N46" s="533"/>
      <c r="O46" s="541"/>
      <c r="P46" s="541"/>
      <c r="Q46" s="318" t="s">
        <v>135</v>
      </c>
      <c r="R46" s="318" t="s">
        <v>33</v>
      </c>
      <c r="S46" s="318" t="s">
        <v>141</v>
      </c>
      <c r="T46" s="319" t="s">
        <v>142</v>
      </c>
    </row>
    <row r="47" spans="2:20" ht="33" customHeight="1" x14ac:dyDescent="0.2">
      <c r="B47" s="550" t="s">
        <v>143</v>
      </c>
      <c r="C47" s="555">
        <f>INDEX('Health Data'!$G:$G,MATCH($C$2,'Health Data'!$B:$B,0))</f>
        <v>2.4163399353274051</v>
      </c>
      <c r="D47" s="292" t="s">
        <v>103</v>
      </c>
      <c r="E47" s="421">
        <v>30</v>
      </c>
      <c r="F47" s="304">
        <f>IFERROR($C47/IF($C$42="Worker",$F$10,$F$11), "")</f>
        <v>1076.3696075549349</v>
      </c>
      <c r="G47" s="305">
        <f>IFERROR($F47*'List Values'!$B$9, "")</f>
        <v>10763.696075549349</v>
      </c>
      <c r="H47" s="305">
        <f>IFERROR($F47*'List Values'!$B$10, "")</f>
        <v>26909.240188873373</v>
      </c>
      <c r="I47" s="305">
        <f>IFERROR($F47*'List Values'!$B$11, "")</f>
        <v>53818.480377746746</v>
      </c>
      <c r="J47" s="305">
        <f>IFERROR($F47*'List Values'!$B$12, "")</f>
        <v>1076369.6075549349</v>
      </c>
      <c r="K47" s="306">
        <f>IFERROR($F47*'List Values'!$B$13, "")</f>
        <v>10763696.075549349</v>
      </c>
      <c r="L47" s="77"/>
      <c r="N47" s="534">
        <f>INDEX('Health Data'!$K:$K,MATCH($C$2,'Health Data'!$B:$B,0))</f>
        <v>19.899999999999999</v>
      </c>
      <c r="O47" s="292" t="s">
        <v>103</v>
      </c>
      <c r="P47" s="421">
        <v>30</v>
      </c>
      <c r="Q47" s="305">
        <f>IFERROR($N47/Q$10, "")</f>
        <v>787.22246946546011</v>
      </c>
      <c r="R47" s="305">
        <f>IFERROR($N47/$Q$12, "")</f>
        <v>3936.1123473273005</v>
      </c>
      <c r="S47" s="305">
        <f>IFERROR($N47/$Q$14, "")</f>
        <v>7872.2246946546011</v>
      </c>
      <c r="T47" s="306">
        <f>IFERROR($N47/$Q$16, "")</f>
        <v>15744.449389309202</v>
      </c>
    </row>
    <row r="48" spans="2:20" ht="33" customHeight="1" thickBot="1" x14ac:dyDescent="0.25">
      <c r="B48" s="551"/>
      <c r="C48" s="556"/>
      <c r="D48" s="293" t="s">
        <v>27</v>
      </c>
      <c r="E48" s="418">
        <v>30</v>
      </c>
      <c r="F48" s="303">
        <f>IFERROR($C47/IF($C$42="Worker",$F$12,$F$13), "")</f>
        <v>22200.123155820529</v>
      </c>
      <c r="G48" s="303">
        <f>IFERROR($F48*'List Values'!$B$9, "")</f>
        <v>222001.2315582053</v>
      </c>
      <c r="H48" s="303">
        <f>IFERROR($F48*'List Values'!$B$10, "")</f>
        <v>555003.0788955132</v>
      </c>
      <c r="I48" s="303">
        <f>IFERROR($F48*'List Values'!$B$11, "")</f>
        <v>1110006.1577910264</v>
      </c>
      <c r="J48" s="303">
        <f>IFERROR($F48*'List Values'!$B$12, "")</f>
        <v>22200123.15582053</v>
      </c>
      <c r="K48" s="307">
        <f>IFERROR($F48*'List Values'!$B$13, "")</f>
        <v>222001231.55820528</v>
      </c>
      <c r="L48" s="77"/>
      <c r="N48" s="535"/>
      <c r="O48" s="293" t="s">
        <v>27</v>
      </c>
      <c r="P48" s="418">
        <v>30</v>
      </c>
      <c r="Q48" s="321">
        <f>IFERROR($N47/$Q$11, "")</f>
        <v>2361.6674083963803</v>
      </c>
      <c r="R48" s="321">
        <f>IFERROR($N47/$Q$13, "")</f>
        <v>11808.337041981902</v>
      </c>
      <c r="S48" s="321">
        <f>IFERROR($N47/$Q$15, "")</f>
        <v>23616.674083963804</v>
      </c>
      <c r="T48" s="322">
        <f>IFERROR($N47/$Q$17, "")</f>
        <v>47233.348167927608</v>
      </c>
    </row>
    <row r="49" spans="2:20" ht="33" customHeight="1" x14ac:dyDescent="0.2">
      <c r="B49" s="552" t="s">
        <v>144</v>
      </c>
      <c r="C49" s="557">
        <v>22</v>
      </c>
      <c r="D49" s="299" t="s">
        <v>103</v>
      </c>
      <c r="E49" s="417">
        <v>30</v>
      </c>
      <c r="F49" s="300">
        <f>IFERROR($C49/IF($C$42="Worker",$G$10,$G$11), "")</f>
        <v>13363.636363636364</v>
      </c>
      <c r="G49" s="301">
        <f>IFERROR($F49*'List Values'!$B$9, "")</f>
        <v>133636.36363636365</v>
      </c>
      <c r="H49" s="301">
        <f>IFERROR($F49*'List Values'!$B$10, "")</f>
        <v>334090.90909090912</v>
      </c>
      <c r="I49" s="301">
        <f>IFERROR($F49*'List Values'!$B$11, "")</f>
        <v>668181.81818181823</v>
      </c>
      <c r="J49" s="301">
        <f>IFERROR($F49*'List Values'!$B$12, "")</f>
        <v>13363636.363636363</v>
      </c>
      <c r="K49" s="302">
        <f>IFERROR($F49*'List Values'!$B$13, "")</f>
        <v>133636363.63636364</v>
      </c>
      <c r="L49" s="77"/>
      <c r="N49" s="536">
        <f>INDEX('Health Data'!$T:$T,MATCH($C$2,'Health Data'!$B:$B,0))</f>
        <v>6.5</v>
      </c>
      <c r="O49" s="299" t="s">
        <v>103</v>
      </c>
      <c r="P49" s="417">
        <v>30</v>
      </c>
      <c r="Q49" s="301">
        <f>IFERROR($N$49/$R$10, "")</f>
        <v>350.6358646545562</v>
      </c>
      <c r="R49" s="301">
        <f>IFERROR($N$49/$R$12, "")</f>
        <v>1753.1793232727809</v>
      </c>
      <c r="S49" s="301">
        <f>IFERROR($N$49/$R$14, "")</f>
        <v>3506.3586465455619</v>
      </c>
      <c r="T49" s="302">
        <f>IFERROR($N$49/$R$16, "")</f>
        <v>7012.7172930911238</v>
      </c>
    </row>
    <row r="50" spans="2:20" ht="33" customHeight="1" thickBot="1" x14ac:dyDescent="0.25">
      <c r="B50" s="551"/>
      <c r="C50" s="558"/>
      <c r="D50" s="293" t="s">
        <v>27</v>
      </c>
      <c r="E50" s="418">
        <v>30</v>
      </c>
      <c r="F50" s="303">
        <f>IFERROR($C49/IF($C$42="Worker",$G$12,$G$13), "")</f>
        <v>275625</v>
      </c>
      <c r="G50" s="303">
        <f>IFERROR($F50*'List Values'!$B$9, "")</f>
        <v>2756250</v>
      </c>
      <c r="H50" s="303">
        <f>IFERROR($F50*'List Values'!$B$10, "")</f>
        <v>6890625</v>
      </c>
      <c r="I50" s="303">
        <f>IFERROR($F50*'List Values'!$B$11, "")</f>
        <v>13781250</v>
      </c>
      <c r="J50" s="303">
        <f>IFERROR($F50*'List Values'!$B$12, "")</f>
        <v>275625000</v>
      </c>
      <c r="K50" s="307">
        <f>IFERROR($F50*'List Values'!$B$13, "")</f>
        <v>2756250000</v>
      </c>
      <c r="L50" s="77"/>
      <c r="N50" s="537"/>
      <c r="O50" s="293" t="s">
        <v>27</v>
      </c>
      <c r="P50" s="418">
        <v>30</v>
      </c>
      <c r="Q50" s="321">
        <f>IFERROR($N$49/$R$11, "")</f>
        <v>1051.9075939636687</v>
      </c>
      <c r="R50" s="321">
        <f>IFERROR($N$49/$R$13, "")</f>
        <v>5259.5379698183442</v>
      </c>
      <c r="S50" s="321">
        <f>IFERROR($N$49/$R$15, "")</f>
        <v>10519.075939636688</v>
      </c>
      <c r="T50" s="322">
        <f>IFERROR($N$49/$R$17, "")</f>
        <v>21038.151879273377</v>
      </c>
    </row>
    <row r="51" spans="2:20" ht="33" customHeight="1" x14ac:dyDescent="0.2">
      <c r="B51" s="553" t="s">
        <v>145</v>
      </c>
      <c r="C51" s="559">
        <f>INDEX('Health Data'!$P:$P,MATCH($C$2,'Health Data'!$B:$B,0))</f>
        <v>5.2378738884397729</v>
      </c>
      <c r="D51" s="292" t="s">
        <v>103</v>
      </c>
      <c r="E51" s="421">
        <v>300</v>
      </c>
      <c r="F51" s="304">
        <f>IFERROR($C51/IF($C$42="Worker",$H$10,$H$11), "")</f>
        <v>3406.5227088998299</v>
      </c>
      <c r="G51" s="305">
        <f>IFERROR($F51*'List Values'!$B$9, "")</f>
        <v>34065.227088998297</v>
      </c>
      <c r="H51" s="305">
        <f>IFERROR($F51*'List Values'!$B$10, "")</f>
        <v>85163.067722495747</v>
      </c>
      <c r="I51" s="305">
        <f>IFERROR($F51*'List Values'!$B$11, "")</f>
        <v>170326.13544499149</v>
      </c>
      <c r="J51" s="305">
        <f>IFERROR($F51*'List Values'!$B$12, "")</f>
        <v>3406522.70889983</v>
      </c>
      <c r="K51" s="306">
        <f>IFERROR($F51*'List Values'!$B$13, "")</f>
        <v>34065227.088998303</v>
      </c>
      <c r="L51" s="77"/>
      <c r="N51" s="538">
        <f>INDEX('Health Data'!$T:$T,MATCH($C$2,'Health Data'!$B:$B,0))</f>
        <v>6.5</v>
      </c>
      <c r="O51" s="292" t="s">
        <v>103</v>
      </c>
      <c r="P51" s="421">
        <v>300</v>
      </c>
      <c r="Q51" s="305">
        <f>IFERROR($N$51/$S$10, "")</f>
        <v>375.41413242347824</v>
      </c>
      <c r="R51" s="305">
        <f>IFERROR($N$51/$S$12, "")</f>
        <v>1877.0706621173911</v>
      </c>
      <c r="S51" s="305">
        <f>IFERROR($N$51/$S$14, "")</f>
        <v>3754.1413242347821</v>
      </c>
      <c r="T51" s="306">
        <f>IFERROR($N$51/$S$16, "")</f>
        <v>7508.2826484695643</v>
      </c>
    </row>
    <row r="52" spans="2:20" ht="33" customHeight="1" thickBot="1" x14ac:dyDescent="0.25">
      <c r="B52" s="554"/>
      <c r="C52" s="560"/>
      <c r="D52" s="293" t="s">
        <v>27</v>
      </c>
      <c r="E52" s="418">
        <v>300</v>
      </c>
      <c r="F52" s="303">
        <f>IFERROR($C51/IF($C$42="Worker",$H$12,$H$13), "")</f>
        <v>70259.530871059003</v>
      </c>
      <c r="G52" s="303">
        <f>IFERROR($F52*'List Values'!$B$9, "")</f>
        <v>702595.30871059</v>
      </c>
      <c r="H52" s="303">
        <f>IFERROR($F52*'List Values'!$B$10, "")</f>
        <v>1756488.271776475</v>
      </c>
      <c r="I52" s="303">
        <f>IFERROR($F52*'List Values'!$B$11, "")</f>
        <v>3512976.54355295</v>
      </c>
      <c r="J52" s="303">
        <f>IFERROR($F52*'List Values'!$B$12, "")</f>
        <v>70259530.871059</v>
      </c>
      <c r="K52" s="307">
        <f>IFERROR($F52*'List Values'!$B$13, "")</f>
        <v>702595308.71059</v>
      </c>
      <c r="L52" s="77"/>
      <c r="N52" s="539"/>
      <c r="O52" s="320" t="s">
        <v>27</v>
      </c>
      <c r="P52" s="420">
        <v>300</v>
      </c>
      <c r="Q52" s="323">
        <f>IFERROR($N$51/$S$11, "")</f>
        <v>1126.2423972704346</v>
      </c>
      <c r="R52" s="323">
        <f>IFERROR($N$51/$S$13, "")</f>
        <v>5631.211986352173</v>
      </c>
      <c r="S52" s="323">
        <f>IFERROR($N$51/$S$15, "")</f>
        <v>11262.423972704346</v>
      </c>
      <c r="T52" s="324">
        <f>IFERROR($N$51/$S$17, "")</f>
        <v>22524.847945408692</v>
      </c>
    </row>
    <row r="53" spans="2:20" ht="33" customHeight="1" x14ac:dyDescent="0.2">
      <c r="B53" s="294"/>
      <c r="C53" s="547" t="s">
        <v>146</v>
      </c>
      <c r="D53" s="530" t="s">
        <v>23</v>
      </c>
      <c r="E53" s="530" t="s">
        <v>108</v>
      </c>
      <c r="F53" s="530" t="str">
        <f>_xlfn.CONCAT("Exposure Estimates: ",$C$42," MOE")</f>
        <v>Exposure Estimates: Worker MOE</v>
      </c>
      <c r="G53" s="530"/>
      <c r="H53" s="530"/>
      <c r="I53" s="530"/>
      <c r="J53" s="530"/>
      <c r="K53" s="531"/>
      <c r="L53" s="77"/>
      <c r="N53" s="532" t="s">
        <v>147</v>
      </c>
      <c r="O53" s="540" t="s">
        <v>23</v>
      </c>
      <c r="P53" s="540" t="s">
        <v>108</v>
      </c>
      <c r="Q53" s="540" t="str">
        <f>_xlfn.CONCAT("Exposure Estimates: ",$I$4," MOE")</f>
        <v>Exposure Estimates:  MOE</v>
      </c>
      <c r="R53" s="540"/>
      <c r="S53" s="540"/>
      <c r="T53" s="542"/>
    </row>
    <row r="54" spans="2:20" ht="33" customHeight="1" thickBot="1" x14ac:dyDescent="0.25">
      <c r="B54" s="294"/>
      <c r="C54" s="533"/>
      <c r="D54" s="541"/>
      <c r="E54" s="541"/>
      <c r="F54" s="416" t="s">
        <v>139</v>
      </c>
      <c r="G54" s="416" t="s">
        <v>34</v>
      </c>
      <c r="H54" s="416" t="s">
        <v>35</v>
      </c>
      <c r="I54" s="416" t="s">
        <v>32</v>
      </c>
      <c r="J54" s="416" t="s">
        <v>140</v>
      </c>
      <c r="K54" s="290" t="s">
        <v>31</v>
      </c>
      <c r="L54" s="77"/>
      <c r="N54" s="533"/>
      <c r="O54" s="541"/>
      <c r="P54" s="541"/>
      <c r="Q54" s="318" t="s">
        <v>135</v>
      </c>
      <c r="R54" s="318" t="s">
        <v>33</v>
      </c>
      <c r="S54" s="318" t="s">
        <v>141</v>
      </c>
      <c r="T54" s="319" t="s">
        <v>142</v>
      </c>
    </row>
    <row r="55" spans="2:20" ht="33" customHeight="1" x14ac:dyDescent="0.2">
      <c r="B55" s="545" t="s">
        <v>148</v>
      </c>
      <c r="C55" s="543">
        <f>INDEX('Health Data'!$Y:$Y,MATCH($C$2,'Health Data'!$B:$B,0))</f>
        <v>2.8736850715746418E-2</v>
      </c>
      <c r="D55" s="299" t="s">
        <v>103</v>
      </c>
      <c r="E55" s="107">
        <v>1E-4</v>
      </c>
      <c r="F55" s="340">
        <f>IFERROR($C55*IF($C$42="Worker",$I$10,$I$11), "")</f>
        <v>2.2659394986001064E-5</v>
      </c>
      <c r="G55" s="341">
        <f>IFERROR($F55/'List Values'!$B$9, "")</f>
        <v>2.2659394986001064E-6</v>
      </c>
      <c r="H55" s="341">
        <f>IFERROR($F55/'List Values'!$B$10, "")</f>
        <v>9.0637579944004262E-7</v>
      </c>
      <c r="I55" s="341">
        <f>IFERROR($F55/'List Values'!$B$11, "")</f>
        <v>4.5318789972002131E-7</v>
      </c>
      <c r="J55" s="341">
        <f>IFERROR($F55/'List Values'!$B$12, "")</f>
        <v>2.2659394986001065E-8</v>
      </c>
      <c r="K55" s="342">
        <f>IFERROR($F55/'List Values'!$B$13, "")</f>
        <v>2.2659394986001064E-9</v>
      </c>
      <c r="L55" s="77"/>
      <c r="N55" s="563" t="str">
        <f>INDEX('Health Data'!$AB:$AB,MATCH($C$2,'Health Data'!$B:$B,0))</f>
        <v>Not Quantified</v>
      </c>
      <c r="O55" s="292" t="s">
        <v>103</v>
      </c>
      <c r="P55" s="596"/>
      <c r="Q55" s="305" t="str">
        <f>IFERROR($N$55*$T10, "")</f>
        <v/>
      </c>
      <c r="R55" s="305" t="str">
        <f>IFERROR($N$55*$T12, "")</f>
        <v/>
      </c>
      <c r="S55" s="305" t="str">
        <f>IFERROR($N$55*$T14, "")</f>
        <v/>
      </c>
      <c r="T55" s="306" t="str">
        <f>IFERROR($N$55*$T16, "")</f>
        <v/>
      </c>
    </row>
    <row r="56" spans="2:20" ht="33" customHeight="1" thickBot="1" x14ac:dyDescent="0.25">
      <c r="B56" s="546"/>
      <c r="C56" s="544"/>
      <c r="D56" s="293" t="s">
        <v>27</v>
      </c>
      <c r="E56" s="107">
        <v>1E-4</v>
      </c>
      <c r="F56" s="337">
        <f>IFERROR($C55*IF($C$42="Worker",$I$12,$I$13), "")</f>
        <v>8.5144393280731264E-7</v>
      </c>
      <c r="G56" s="338">
        <f>IFERROR($F56/'List Values'!$B$9, "")</f>
        <v>8.5144393280731264E-8</v>
      </c>
      <c r="H56" s="338">
        <f>IFERROR($F56/'List Values'!$B$10, "")</f>
        <v>3.4057757312292503E-8</v>
      </c>
      <c r="I56" s="338">
        <f>IFERROR($F56/'List Values'!$B$11, "")</f>
        <v>1.7028878656146251E-8</v>
      </c>
      <c r="J56" s="338">
        <f>IFERROR($F56/'List Values'!$B$12, "")</f>
        <v>8.5144393280731259E-10</v>
      </c>
      <c r="K56" s="339">
        <f>IFERROR($F56/'List Values'!$B$13, "")</f>
        <v>8.5144393280731269E-11</v>
      </c>
      <c r="L56" s="77"/>
      <c r="N56" s="564"/>
      <c r="O56" s="293" t="s">
        <v>27</v>
      </c>
      <c r="P56" s="558"/>
      <c r="Q56" s="321" t="str">
        <f>IFERROR($N$55*$T11, "")</f>
        <v/>
      </c>
      <c r="R56" s="321" t="str">
        <f>IFERROR($N$55*$T13, "")</f>
        <v/>
      </c>
      <c r="S56" s="321" t="str">
        <f>IFERROR($N$55*$T15, "")</f>
        <v/>
      </c>
      <c r="T56" s="322" t="str">
        <f>IFERROR($N$55*$T17, "")</f>
        <v/>
      </c>
    </row>
    <row r="57" spans="2:20" ht="33" customHeight="1" x14ac:dyDescent="0.2">
      <c r="B57" s="79"/>
      <c r="I57" s="77"/>
      <c r="J57" s="77"/>
      <c r="K57" s="77"/>
      <c r="L57" s="77"/>
    </row>
    <row r="58" spans="2:20" ht="33" customHeight="1" x14ac:dyDescent="0.2">
      <c r="B58" s="79"/>
      <c r="I58" s="77"/>
      <c r="J58" s="77"/>
      <c r="K58" s="77"/>
      <c r="L58" s="77"/>
    </row>
    <row r="59" spans="2:20" ht="33" customHeight="1" x14ac:dyDescent="0.2">
      <c r="B59" s="79"/>
      <c r="I59" s="77"/>
      <c r="J59" s="77"/>
      <c r="K59" s="77"/>
      <c r="L59" s="77"/>
    </row>
    <row r="60" spans="2:20" ht="33" customHeight="1" x14ac:dyDescent="0.2">
      <c r="B60" s="79"/>
      <c r="I60" s="77"/>
      <c r="J60" s="77"/>
      <c r="K60" s="77"/>
      <c r="L60" s="77"/>
    </row>
    <row r="61" spans="2:20" s="85" customFormat="1" ht="21" x14ac:dyDescent="0.35">
      <c r="C61" s="66"/>
      <c r="D61" s="66"/>
      <c r="E61" s="66"/>
      <c r="F61" s="66"/>
      <c r="G61" s="66"/>
      <c r="H61" s="66"/>
      <c r="N61" s="66"/>
      <c r="O61" s="66"/>
      <c r="P61" s="66"/>
      <c r="Q61" s="66"/>
      <c r="R61" s="66"/>
      <c r="S61" s="66"/>
      <c r="T61" s="66"/>
    </row>
    <row r="62" spans="2:20" ht="25.5" customHeight="1" x14ac:dyDescent="0.2">
      <c r="B62" s="76"/>
      <c r="I62" s="90"/>
      <c r="J62" s="90"/>
      <c r="K62" s="90"/>
      <c r="L62" s="90"/>
    </row>
    <row r="63" spans="2:20" ht="14.45" customHeight="1" x14ac:dyDescent="0.2">
      <c r="B63" s="76"/>
      <c r="I63" s="90"/>
      <c r="J63" s="90"/>
      <c r="K63" s="90"/>
      <c r="L63" s="90"/>
    </row>
    <row r="64" spans="2:20" x14ac:dyDescent="0.2">
      <c r="B64" s="76"/>
      <c r="I64" s="89"/>
      <c r="J64" s="89"/>
      <c r="K64" s="89"/>
      <c r="L64" s="89"/>
    </row>
    <row r="65" spans="2:20" ht="21" x14ac:dyDescent="0.35">
      <c r="B65" s="76"/>
      <c r="I65" s="89"/>
      <c r="J65" s="89"/>
      <c r="K65" s="89"/>
      <c r="L65" s="89"/>
      <c r="S65" s="85"/>
      <c r="T65" s="85"/>
    </row>
    <row r="69" spans="2:20" ht="29.1" customHeight="1" x14ac:dyDescent="0.2"/>
  </sheetData>
  <sheetProtection sheet="1" objects="1" scenarios="1" formatCells="0" formatColumns="0" formatRows="0"/>
  <mergeCells count="93">
    <mergeCell ref="N55:N56"/>
    <mergeCell ref="P55:P56"/>
    <mergeCell ref="P45:P46"/>
    <mergeCell ref="Q45:T45"/>
    <mergeCell ref="N47:N48"/>
    <mergeCell ref="N49:N50"/>
    <mergeCell ref="N53:N54"/>
    <mergeCell ref="O53:O54"/>
    <mergeCell ref="P53:P54"/>
    <mergeCell ref="Q53:T53"/>
    <mergeCell ref="O8:O9"/>
    <mergeCell ref="D10:D11"/>
    <mergeCell ref="N10:N11"/>
    <mergeCell ref="N51:N52"/>
    <mergeCell ref="N12:N13"/>
    <mergeCell ref="N14:N15"/>
    <mergeCell ref="N16:N17"/>
    <mergeCell ref="N45:N46"/>
    <mergeCell ref="N20:N21"/>
    <mergeCell ref="N22:N23"/>
    <mergeCell ref="N34:N35"/>
    <mergeCell ref="N40:N41"/>
    <mergeCell ref="O45:O46"/>
    <mergeCell ref="E16:E17"/>
    <mergeCell ref="F16:F17"/>
    <mergeCell ref="O26:O27"/>
    <mergeCell ref="C8:C9"/>
    <mergeCell ref="D8:D9"/>
    <mergeCell ref="N8:N9"/>
    <mergeCell ref="C18:C19"/>
    <mergeCell ref="D18:D19"/>
    <mergeCell ref="D12:D13"/>
    <mergeCell ref="C16:C17"/>
    <mergeCell ref="D16:D17"/>
    <mergeCell ref="G16:H16"/>
    <mergeCell ref="P26:P27"/>
    <mergeCell ref="Q26:Q27"/>
    <mergeCell ref="O20:O21"/>
    <mergeCell ref="P20:P21"/>
    <mergeCell ref="Q20:Q21"/>
    <mergeCell ref="C24:C25"/>
    <mergeCell ref="D24:D25"/>
    <mergeCell ref="N28:N29"/>
    <mergeCell ref="O28:O29"/>
    <mergeCell ref="C22:C23"/>
    <mergeCell ref="D22:D23"/>
    <mergeCell ref="E22:E23"/>
    <mergeCell ref="F22:F23"/>
    <mergeCell ref="G22:H22"/>
    <mergeCell ref="N26:N27"/>
    <mergeCell ref="O22:O23"/>
    <mergeCell ref="C28:C29"/>
    <mergeCell ref="D28:D29"/>
    <mergeCell ref="E28:E29"/>
    <mergeCell ref="F28:F29"/>
    <mergeCell ref="G28:H28"/>
    <mergeCell ref="N32:N33"/>
    <mergeCell ref="O32:O33"/>
    <mergeCell ref="P32:P33"/>
    <mergeCell ref="Q32:Q33"/>
    <mergeCell ref="C30:C31"/>
    <mergeCell ref="D30:D31"/>
    <mergeCell ref="O40:O41"/>
    <mergeCell ref="Q40:Q41"/>
    <mergeCell ref="C34:C35"/>
    <mergeCell ref="D34:D35"/>
    <mergeCell ref="E34:E35"/>
    <mergeCell ref="F34:F35"/>
    <mergeCell ref="G34:H34"/>
    <mergeCell ref="N38:N39"/>
    <mergeCell ref="O38:O39"/>
    <mergeCell ref="P38:P39"/>
    <mergeCell ref="Q38:Q39"/>
    <mergeCell ref="C36:C37"/>
    <mergeCell ref="D36:D37"/>
    <mergeCell ref="O34:O35"/>
    <mergeCell ref="B45:B46"/>
    <mergeCell ref="C45:C46"/>
    <mergeCell ref="D45:D46"/>
    <mergeCell ref="E45:E46"/>
    <mergeCell ref="F45:K45"/>
    <mergeCell ref="B47:B48"/>
    <mergeCell ref="C47:C48"/>
    <mergeCell ref="B49:B50"/>
    <mergeCell ref="C49:C50"/>
    <mergeCell ref="B51:B52"/>
    <mergeCell ref="C51:C52"/>
    <mergeCell ref="C53:C54"/>
    <mergeCell ref="D53:D54"/>
    <mergeCell ref="E53:E54"/>
    <mergeCell ref="F53:K53"/>
    <mergeCell ref="B55:B56"/>
    <mergeCell ref="C55:C56"/>
  </mergeCells>
  <conditionalFormatting sqref="E10:L13">
    <cfRule type="cellIs" dxfId="1102" priority="98" operator="between">
      <formula>1</formula>
      <formula>10</formula>
    </cfRule>
    <cfRule type="cellIs" dxfId="1101" priority="97" operator="between">
      <formula>0.1</formula>
      <formula>0.999</formula>
    </cfRule>
    <cfRule type="cellIs" dxfId="1100" priority="100" operator="greaterThan">
      <formula>10000</formula>
    </cfRule>
    <cfRule type="cellIs" dxfId="1099" priority="89" operator="greaterThanOrEqual">
      <formula>10000</formula>
    </cfRule>
    <cfRule type="cellIs" dxfId="1098" priority="90" operator="greaterThanOrEqual">
      <formula>10</formula>
    </cfRule>
    <cfRule type="cellIs" dxfId="1097" priority="91" operator="between">
      <formula>1</formula>
      <formula>9.999</formula>
    </cfRule>
    <cfRule type="cellIs" dxfId="1096" priority="92" operator="between">
      <formula>0.1</formula>
      <formula>0.999</formula>
    </cfRule>
    <cfRule type="cellIs" dxfId="1095" priority="93" operator="lessThanOrEqual">
      <formula>0.1</formula>
    </cfRule>
    <cfRule type="containsBlanks" dxfId="1094" priority="94" stopIfTrue="1">
      <formula>LEN(TRIM(E10))=0</formula>
    </cfRule>
    <cfRule type="cellIs" dxfId="1093" priority="95" operator="equal">
      <formula>0</formula>
    </cfRule>
    <cfRule type="cellIs" dxfId="1092" priority="99" operator="greaterThan">
      <formula>10</formula>
    </cfRule>
    <cfRule type="cellIs" dxfId="1091" priority="96" operator="lessThan">
      <formula>0.1</formula>
    </cfRule>
  </conditionalFormatting>
  <conditionalFormatting sqref="F47:K48">
    <cfRule type="cellIs" dxfId="1090" priority="76" operator="lessThan">
      <formula>$E$47</formula>
    </cfRule>
    <cfRule type="cellIs" dxfId="1089" priority="75" operator="greaterThanOrEqual">
      <formula>$E$47</formula>
    </cfRule>
  </conditionalFormatting>
  <conditionalFormatting sqref="F47:K52">
    <cfRule type="cellIs" dxfId="1088" priority="54" operator="greaterThanOrEqual">
      <formula>10</formula>
    </cfRule>
    <cfRule type="cellIs" dxfId="1087" priority="53" operator="greaterThanOrEqual">
      <formula>10000</formula>
    </cfRule>
    <cfRule type="cellIs" dxfId="1086" priority="56" operator="between">
      <formula>0.1</formula>
      <formula>0.999</formula>
    </cfRule>
    <cfRule type="cellIs" dxfId="1085" priority="55" operator="between">
      <formula>1</formula>
      <formula>9.999</formula>
    </cfRule>
    <cfRule type="containsBlanks" dxfId="1084" priority="58" stopIfTrue="1">
      <formula>LEN(TRIM(F47))=0</formula>
    </cfRule>
    <cfRule type="cellIs" dxfId="1083" priority="57" operator="lessThanOrEqual">
      <formula>0.1</formula>
    </cfRule>
  </conditionalFormatting>
  <conditionalFormatting sqref="F49:K50">
    <cfRule type="cellIs" dxfId="1082" priority="68" operator="lessThan">
      <formula>$E$49</formula>
    </cfRule>
    <cfRule type="cellIs" dxfId="1081" priority="67" operator="greaterThanOrEqual">
      <formula>$E$49</formula>
    </cfRule>
  </conditionalFormatting>
  <conditionalFormatting sqref="F51:K52">
    <cfRule type="cellIs" dxfId="1080" priority="60" operator="lessThan">
      <formula>$E$51</formula>
    </cfRule>
    <cfRule type="cellIs" dxfId="1079" priority="59" operator="greaterThanOrEqual">
      <formula>$E$51</formula>
    </cfRule>
  </conditionalFormatting>
  <conditionalFormatting sqref="F55:K55">
    <cfRule type="cellIs" dxfId="1078" priority="50" operator="greaterThanOrEqual">
      <formula>0.0001</formula>
    </cfRule>
    <cfRule type="containsBlanks" dxfId="1077" priority="49" stopIfTrue="1">
      <formula>LEN(TRIM(F55))=0</formula>
    </cfRule>
  </conditionalFormatting>
  <conditionalFormatting sqref="F55:K56">
    <cfRule type="cellIs" dxfId="1076" priority="45" operator="greaterThanOrEqual">
      <formula>10</formula>
    </cfRule>
    <cfRule type="cellIs" dxfId="1075" priority="44" operator="greaterThanOrEqual">
      <formula>10000</formula>
    </cfRule>
    <cfRule type="cellIs" dxfId="1074" priority="39" operator="between">
      <formula>0.1</formula>
      <formula>0.999</formula>
    </cfRule>
    <cfRule type="cellIs" dxfId="1073" priority="38" operator="between">
      <formula>1</formula>
      <formula>9.999</formula>
    </cfRule>
  </conditionalFormatting>
  <conditionalFormatting sqref="F56:K56">
    <cfRule type="cellIs" dxfId="1072" priority="41" operator="greaterThanOrEqual">
      <formula>0.0001</formula>
    </cfRule>
    <cfRule type="containsBlanks" dxfId="1071" priority="40" stopIfTrue="1">
      <formula>LEN(TRIM(F56))=0</formula>
    </cfRule>
    <cfRule type="cellIs" dxfId="1070" priority="48" operator="lessThanOrEqual">
      <formula>0.1</formula>
    </cfRule>
  </conditionalFormatting>
  <conditionalFormatting sqref="G18:H19 G24:H25 G30:H31">
    <cfRule type="cellIs" dxfId="1069" priority="117" operator="greaterThanOrEqual">
      <formula>10000</formula>
    </cfRule>
    <cfRule type="cellIs" dxfId="1068" priority="118" operator="greaterThanOrEqual">
      <formula>10</formula>
    </cfRule>
    <cfRule type="cellIs" dxfId="1067" priority="119" operator="between">
      <formula>1</formula>
      <formula>9.999</formula>
    </cfRule>
    <cfRule type="cellIs" dxfId="1066" priority="120" operator="between">
      <formula>0.1</formula>
      <formula>0.999</formula>
    </cfRule>
    <cfRule type="cellIs" dxfId="1065" priority="121" operator="lessThanOrEqual">
      <formula>0.1</formula>
    </cfRule>
    <cfRule type="containsBlanks" dxfId="1064" priority="122" stopIfTrue="1">
      <formula>LEN(TRIM(G18))=0</formula>
    </cfRule>
    <cfRule type="cellIs" dxfId="1063" priority="123" operator="lessThan">
      <formula>$F18</formula>
    </cfRule>
  </conditionalFormatting>
  <conditionalFormatting sqref="G36:H37">
    <cfRule type="cellIs" dxfId="1062" priority="114" operator="equal">
      <formula>0</formula>
    </cfRule>
    <cfRule type="containsBlanks" dxfId="1061" priority="113" stopIfTrue="1">
      <formula>LEN(TRIM(G36))=0</formula>
    </cfRule>
    <cfRule type="cellIs" dxfId="1060" priority="112" operator="lessThanOrEqual">
      <formula>0.1</formula>
    </cfRule>
    <cfRule type="cellIs" dxfId="1059" priority="110" operator="between">
      <formula>1</formula>
      <formula>9.999</formula>
    </cfRule>
    <cfRule type="cellIs" dxfId="1058" priority="111" operator="between">
      <formula>0.1</formula>
      <formula>0.999</formula>
    </cfRule>
    <cfRule type="cellIs" dxfId="1057" priority="109" operator="greaterThanOrEqual">
      <formula>10</formula>
    </cfRule>
    <cfRule type="cellIs" dxfId="1056" priority="108" operator="greaterThanOrEqual">
      <formula>10000</formula>
    </cfRule>
    <cfRule type="cellIs" dxfId="1055" priority="115" operator="greaterThan">
      <formula>0.0001</formula>
    </cfRule>
  </conditionalFormatting>
  <conditionalFormatting sqref="P10:T17">
    <cfRule type="cellIs" dxfId="1054" priority="30" operator="lessThanOrEqual">
      <formula>0.1</formula>
    </cfRule>
    <cfRule type="cellIs" dxfId="1053" priority="29" operator="between">
      <formula>0.1</formula>
      <formula>0.999</formula>
    </cfRule>
    <cfRule type="cellIs" dxfId="1052" priority="28" operator="between">
      <formula>1</formula>
      <formula>9.999</formula>
    </cfRule>
    <cfRule type="cellIs" dxfId="1051" priority="27" operator="greaterThanOrEqual">
      <formula>10</formula>
    </cfRule>
    <cfRule type="cellIs" dxfId="1050" priority="36" operator="greaterThan">
      <formula>10</formula>
    </cfRule>
    <cfRule type="cellIs" dxfId="1049" priority="26" operator="greaterThanOrEqual">
      <formula>10000</formula>
    </cfRule>
    <cfRule type="cellIs" dxfId="1048" priority="35" operator="between">
      <formula>1</formula>
      <formula>10</formula>
    </cfRule>
    <cfRule type="cellIs" dxfId="1047" priority="34" operator="between">
      <formula>0.1</formula>
      <formula>0.999</formula>
    </cfRule>
    <cfRule type="cellIs" dxfId="1046" priority="33" operator="lessThan">
      <formula>0.1</formula>
    </cfRule>
    <cfRule type="cellIs" dxfId="1045" priority="32" operator="equal">
      <formula>0</formula>
    </cfRule>
    <cfRule type="containsBlanks" dxfId="1044" priority="31" stopIfTrue="1">
      <formula>LEN(TRIM(P10))=0</formula>
    </cfRule>
    <cfRule type="cellIs" dxfId="1043" priority="37" operator="greaterThan">
      <formula>10000</formula>
    </cfRule>
  </conditionalFormatting>
  <conditionalFormatting sqref="Q47:T47">
    <cfRule type="cellIs" dxfId="1042" priority="25" operator="lessThan">
      <formula>$P$47</formula>
    </cfRule>
    <cfRule type="cellIs" dxfId="1041" priority="24" operator="greaterThanOrEqual">
      <formula>$P$47</formula>
    </cfRule>
  </conditionalFormatting>
  <conditionalFormatting sqref="Q47:T52">
    <cfRule type="cellIs" dxfId="1040" priority="12" operator="greaterThanOrEqual">
      <formula>10</formula>
    </cfRule>
    <cfRule type="cellIs" dxfId="1039" priority="8" operator="between">
      <formula>1</formula>
      <formula>9.999</formula>
    </cfRule>
    <cfRule type="cellIs" dxfId="1038" priority="9" operator="between">
      <formula>0.1</formula>
      <formula>0.999</formula>
    </cfRule>
    <cfRule type="containsBlanks" dxfId="1037" priority="10" stopIfTrue="1">
      <formula>LEN(TRIM(Q47))=0</formula>
    </cfRule>
    <cfRule type="cellIs" dxfId="1036" priority="11" operator="greaterThanOrEqual">
      <formula>10000</formula>
    </cfRule>
    <cfRule type="cellIs" dxfId="1035" priority="13" operator="lessThanOrEqual">
      <formula>0.1</formula>
    </cfRule>
  </conditionalFormatting>
  <conditionalFormatting sqref="Q48:T48">
    <cfRule type="cellIs" dxfId="1034" priority="23" operator="lessThan">
      <formula>$P$48</formula>
    </cfRule>
    <cfRule type="cellIs" dxfId="1033" priority="22" operator="greaterThanOrEqual">
      <formula>$P$48</formula>
    </cfRule>
  </conditionalFormatting>
  <conditionalFormatting sqref="Q49:T49">
    <cfRule type="cellIs" dxfId="1032" priority="21" operator="lessThan">
      <formula>$P$49</formula>
    </cfRule>
    <cfRule type="cellIs" dxfId="1031" priority="20" operator="greaterThanOrEqual">
      <formula>$P$49</formula>
    </cfRule>
  </conditionalFormatting>
  <conditionalFormatting sqref="Q50:T50">
    <cfRule type="cellIs" dxfId="1030" priority="18" operator="greaterThanOrEqual">
      <formula>$P$48</formula>
    </cfRule>
    <cfRule type="cellIs" dxfId="1029" priority="19" operator="lessThan">
      <formula>$P$48</formula>
    </cfRule>
  </conditionalFormatting>
  <conditionalFormatting sqref="Q51:T51">
    <cfRule type="cellIs" dxfId="1028" priority="17" operator="lessThan">
      <formula>$P$49</formula>
    </cfRule>
    <cfRule type="cellIs" dxfId="1027" priority="16" operator="greaterThanOrEqual">
      <formula>$P$49</formula>
    </cfRule>
  </conditionalFormatting>
  <conditionalFormatting sqref="Q52:T52">
    <cfRule type="cellIs" dxfId="1026" priority="14" operator="greaterThanOrEqual">
      <formula>$P$51</formula>
    </cfRule>
    <cfRule type="cellIs" dxfId="1025" priority="15" operator="lessThan">
      <formula>$P$51</formula>
    </cfRule>
  </conditionalFormatting>
  <conditionalFormatting sqref="Q55:T56">
    <cfRule type="cellIs" dxfId="1024" priority="1" operator="greaterThan">
      <formula>100</formula>
    </cfRule>
    <cfRule type="cellIs" dxfId="1023" priority="7" operator="between">
      <formula>0.000001</formula>
      <formula>0.00001</formula>
    </cfRule>
    <cfRule type="cellIs" dxfId="1022" priority="6" operator="between">
      <formula>0.00001</formula>
      <formula>0.0001</formula>
    </cfRule>
    <cfRule type="cellIs" dxfId="1021" priority="5" operator="greaterThanOrEqual">
      <formula>0.0001</formula>
    </cfRule>
    <cfRule type="containsBlanks" dxfId="1020" priority="4" stopIfTrue="1">
      <formula>LEN(TRIM(Q55))=0</formula>
    </cfRule>
    <cfRule type="cellIs" dxfId="1019" priority="3" operator="lessThanOrEqual">
      <formula>0.1</formula>
    </cfRule>
    <cfRule type="cellIs" dxfId="1018" priority="2" operator="between">
      <formula>1</formula>
      <formula>100</formula>
    </cfRule>
  </conditionalFormatting>
  <conditionalFormatting sqref="R22:R23 R28:R29 R34:R35">
    <cfRule type="cellIs" dxfId="1017" priority="105" operator="lessThanOrEqual">
      <formula>0.1</formula>
    </cfRule>
    <cfRule type="containsBlanks" dxfId="1016" priority="106" stopIfTrue="1">
      <formula>LEN(TRIM(R22))=0</formula>
    </cfRule>
    <cfRule type="cellIs" dxfId="1015" priority="107" operator="lessThan">
      <formula>$Q22</formula>
    </cfRule>
    <cfRule type="cellIs" dxfId="1014" priority="101" operator="greaterThanOrEqual">
      <formula>10000</formula>
    </cfRule>
    <cfRule type="cellIs" dxfId="1013" priority="102" operator="greaterThanOrEqual">
      <formula>10</formula>
    </cfRule>
    <cfRule type="cellIs" dxfId="1012" priority="103" operator="between">
      <formula>1</formula>
      <formula>9.999</formula>
    </cfRule>
    <cfRule type="cellIs" dxfId="1011" priority="104" operator="between">
      <formula>0.1</formula>
      <formula>0.999</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77EC392-98D4-435F-AE88-5B29535D582B}">
          <x14:formula1>
            <xm:f>'List Values'!$B$4:$B$5</xm:f>
          </x14:formula1>
          <xm:sqref>C42:C43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41FA9-441D-41D3-B341-34067B529C2D}">
  <dimension ref="B1:U63"/>
  <sheetViews>
    <sheetView topLeftCell="E1" workbookViewId="0">
      <selection activeCell="S9" sqref="S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12" width="15.85546875" style="66" customWidth="1"/>
    <col min="13" max="13" width="12.85546875" style="66" customWidth="1"/>
    <col min="14" max="14" width="21.28515625" style="66" customWidth="1"/>
    <col min="15" max="15" width="28.42578125" style="66" customWidth="1"/>
    <col min="16" max="19" width="14.85546875" style="66" customWidth="1"/>
    <col min="20" max="21" width="13.5703125" style="66" customWidth="1"/>
    <col min="22" max="16384" width="8.7109375" style="66"/>
  </cols>
  <sheetData>
    <row r="1" spans="2:21" ht="21" x14ac:dyDescent="0.35">
      <c r="C1" s="83"/>
    </row>
    <row r="2" spans="2:21" ht="21" x14ac:dyDescent="0.35">
      <c r="C2" s="83" t="s">
        <v>2</v>
      </c>
      <c r="M2" s="68"/>
      <c r="T2" s="67"/>
    </row>
    <row r="3" spans="2:21" ht="15.75" x14ac:dyDescent="0.25">
      <c r="C3" s="67"/>
      <c r="M3" s="68"/>
      <c r="T3" s="67"/>
    </row>
    <row r="4" spans="2:21" ht="21" x14ac:dyDescent="0.35">
      <c r="C4" s="84" t="s">
        <v>83</v>
      </c>
      <c r="D4" s="85"/>
      <c r="E4" s="85"/>
      <c r="F4" s="85"/>
      <c r="G4" s="85"/>
      <c r="H4" s="85"/>
      <c r="I4" s="85"/>
      <c r="J4" s="85"/>
      <c r="K4" s="85"/>
      <c r="L4" s="85"/>
      <c r="N4" s="84" t="s">
        <v>29</v>
      </c>
      <c r="T4" s="67"/>
    </row>
    <row r="5" spans="2:21" ht="21" x14ac:dyDescent="0.35">
      <c r="C5" s="85"/>
      <c r="D5" s="85"/>
      <c r="E5" s="85"/>
      <c r="F5" s="85"/>
      <c r="G5" s="85"/>
      <c r="H5" s="85"/>
      <c r="I5" s="85"/>
      <c r="J5" s="85"/>
      <c r="K5" s="85"/>
      <c r="L5" s="85"/>
      <c r="N5" s="83"/>
      <c r="T5" s="67"/>
    </row>
    <row r="6" spans="2:21" ht="21" x14ac:dyDescent="0.35">
      <c r="C6" s="83" t="s">
        <v>84</v>
      </c>
      <c r="D6" s="85"/>
      <c r="E6" s="85"/>
      <c r="F6" s="85"/>
      <c r="G6" s="85"/>
      <c r="H6" s="85"/>
      <c r="I6" s="85"/>
      <c r="J6" s="85"/>
      <c r="K6" s="85"/>
      <c r="L6" s="85"/>
      <c r="N6" s="83" t="s">
        <v>84</v>
      </c>
      <c r="T6" s="67"/>
    </row>
    <row r="7" spans="2:21" ht="15.75" x14ac:dyDescent="0.25">
      <c r="C7" s="67"/>
      <c r="M7" s="68"/>
      <c r="T7" s="67"/>
    </row>
    <row r="8" spans="2:21" ht="78" customHeight="1" x14ac:dyDescent="0.25">
      <c r="C8" s="592" t="s">
        <v>85</v>
      </c>
      <c r="D8" s="593" t="s">
        <v>23</v>
      </c>
      <c r="E8" s="411" t="s">
        <v>86</v>
      </c>
      <c r="F8" s="411" t="s">
        <v>87</v>
      </c>
      <c r="G8" s="411" t="s">
        <v>89</v>
      </c>
      <c r="H8" s="411" t="s">
        <v>90</v>
      </c>
      <c r="I8" s="291"/>
      <c r="J8" s="291"/>
      <c r="K8" s="291"/>
      <c r="L8" s="291"/>
      <c r="M8" s="1"/>
      <c r="N8" s="592" t="s">
        <v>85</v>
      </c>
      <c r="O8" s="592" t="s">
        <v>23</v>
      </c>
      <c r="P8" s="411" t="s">
        <v>91</v>
      </c>
      <c r="Q8" s="411" t="s">
        <v>92</v>
      </c>
      <c r="R8" s="411" t="s">
        <v>94</v>
      </c>
      <c r="S8" s="411" t="s">
        <v>95</v>
      </c>
      <c r="U8" s="67"/>
    </row>
    <row r="9" spans="2:21" ht="27" x14ac:dyDescent="0.25">
      <c r="C9" s="592"/>
      <c r="D9" s="593"/>
      <c r="E9" s="411" t="s">
        <v>158</v>
      </c>
      <c r="F9" s="411" t="s">
        <v>159</v>
      </c>
      <c r="G9" s="411" t="s">
        <v>160</v>
      </c>
      <c r="H9" s="411" t="s">
        <v>161</v>
      </c>
      <c r="I9" s="291"/>
      <c r="J9" s="291"/>
      <c r="K9" s="291"/>
      <c r="L9" s="291"/>
      <c r="M9" s="1"/>
      <c r="N9" s="592"/>
      <c r="O9" s="592"/>
      <c r="P9" s="411" t="s">
        <v>100</v>
      </c>
      <c r="Q9" s="411" t="s">
        <v>162</v>
      </c>
      <c r="R9" s="411" t="s">
        <v>163</v>
      </c>
      <c r="S9" s="411" t="s">
        <v>507</v>
      </c>
      <c r="U9" s="67"/>
    </row>
    <row r="10" spans="2:21" ht="15.6" customHeight="1" x14ac:dyDescent="0.25">
      <c r="C10" s="88" t="s">
        <v>30</v>
      </c>
      <c r="D10" s="594" t="s">
        <v>103</v>
      </c>
      <c r="E10" s="316">
        <f>'Inhalation Exposures'!I67</f>
        <v>8.2999449678872808E-3</v>
      </c>
      <c r="F10" s="316">
        <f>'Inhalation Exposures'!K67</f>
        <v>5.6462210665899869E-3</v>
      </c>
      <c r="G10" s="316">
        <f>'Inhalation Exposures'!O67</f>
        <v>3.8672747031438274E-3</v>
      </c>
      <c r="H10" s="316">
        <f>'Inhalation Exposures'!Q67</f>
        <v>9.7177672027716684E-4</v>
      </c>
      <c r="I10" s="329"/>
      <c r="J10" s="329"/>
      <c r="K10" s="329"/>
      <c r="L10" s="329"/>
      <c r="M10" s="1"/>
      <c r="N10" s="595" t="s">
        <v>104</v>
      </c>
      <c r="O10" s="72" t="s">
        <v>103</v>
      </c>
      <c r="P10" s="316">
        <f>IFERROR(INDEX('Dermal Exposures'!$J$33:$J$34, MATCH(TCE_operator!$C$2, 'Dermal Exposures'!$A$33:$A$34, 0)), "")</f>
        <v>0.24</v>
      </c>
      <c r="Q10" s="316">
        <f>IFERROR(INDEX('Dermal Exposures'!$K$33:$K$34, MATCH(TCE_operator!$C$2, 'Dermal Exposures'!$A$33:$A$34, 0)), "")</f>
        <v>3.0999999999999999E-3</v>
      </c>
      <c r="R10" s="316">
        <f>IFERROR(INDEX('Dermal Exposures'!$M$33:$M$34, MATCH(TCE_operator!$C$2, 'Dermal Exposures'!$A$33:$A$34, 0)), "")</f>
        <v>2.0999999999999999E-3</v>
      </c>
      <c r="S10" s="316">
        <f>IFERROR(INDEX('Dermal Exposures'!$N$33:$N$34, MATCH(TCE_operator!$C$2, 'Dermal Exposures'!$A$33:$A$34, 0)), "")</f>
        <v>8.5999999999999998E-4</v>
      </c>
      <c r="U10" s="67"/>
    </row>
    <row r="11" spans="2:21" ht="15.75" x14ac:dyDescent="0.25">
      <c r="C11" s="88" t="s">
        <v>28</v>
      </c>
      <c r="D11" s="594"/>
      <c r="E11" s="316">
        <f>'Inhalation Exposures'!I80</f>
        <v>1.6219005447518585E-3</v>
      </c>
      <c r="F11" s="316">
        <f>'Inhalation Exposures'!K80</f>
        <v>1.103333703912829E-3</v>
      </c>
      <c r="G11" s="316">
        <f>'Inhalation Exposures'!O80</f>
        <v>7.5570801637865007E-4</v>
      </c>
      <c r="H11" s="316">
        <f>'Inhalation Exposures'!Q80</f>
        <v>1.8989586052591719E-4</v>
      </c>
      <c r="I11" s="329"/>
      <c r="J11" s="329"/>
      <c r="K11" s="329"/>
      <c r="L11" s="329"/>
      <c r="M11" s="1"/>
      <c r="N11" s="595"/>
      <c r="O11" s="72" t="s">
        <v>27</v>
      </c>
      <c r="P11" s="316">
        <f>IFERROR(INDEX('Dermal Exposures'!$O$33:$O$34, MATCH(TCE_operator!$C$2, 'Dermal Exposures'!$A$33:$A$34, 0)), "")</f>
        <v>0.09</v>
      </c>
      <c r="Q11" s="316">
        <f>IFERROR(INDEX('Dermal Exposures'!$P$33:$P$34, MATCH(TCE_operator!$C$2, 'Dermal Exposures'!$A$33:$A$34, 0)), "")</f>
        <v>1.1999999999999999E-3</v>
      </c>
      <c r="R11" s="316">
        <f>IFERROR(INDEX('Dermal Exposures'!$R$33:$R$34, MATCH(TCE_operator!$C$2, 'Dermal Exposures'!$A$33:$A$34, 0)), "")</f>
        <v>7.9000000000000001E-4</v>
      </c>
      <c r="S11" s="316">
        <f>IFERROR(INDEX('Dermal Exposures'!$S$33:$S$34, MATCH(TCE_operator!$C$2, 'Dermal Exposures'!$A$33:$A$34, 0)), "")</f>
        <v>2.9E-4</v>
      </c>
      <c r="U11" s="67"/>
    </row>
    <row r="12" spans="2:21" ht="15.6" customHeight="1" x14ac:dyDescent="0.25">
      <c r="C12" s="88" t="s">
        <v>30</v>
      </c>
      <c r="D12" s="591" t="s">
        <v>27</v>
      </c>
      <c r="E12" s="316">
        <f>'Inhalation Exposures'!J67</f>
        <v>1.9414283695222572E-3</v>
      </c>
      <c r="F12" s="316">
        <f>'Inhalation Exposures'!L67</f>
        <v>1.3206995711035764E-3</v>
      </c>
      <c r="G12" s="316">
        <f>'Inhalation Exposures'!P67</f>
        <v>9.0458874733121667E-4</v>
      </c>
      <c r="H12" s="316">
        <f>'Inhalation Exposures'!R67</f>
        <v>1.7616285989693821E-4</v>
      </c>
      <c r="I12" s="329"/>
      <c r="J12" s="329"/>
      <c r="K12" s="329"/>
      <c r="L12" s="329"/>
      <c r="M12" s="1"/>
      <c r="N12" s="565" t="str">
        <f>_xlfn.CONCAT("Worker with Gloves; 
PF of ",'List Values'!$B$16)</f>
        <v>Worker with Gloves; 
PF of 5</v>
      </c>
      <c r="O12" s="71" t="s">
        <v>103</v>
      </c>
      <c r="P12" s="316">
        <f>P10/'List Values'!$B$16</f>
        <v>4.8000000000000001E-2</v>
      </c>
      <c r="Q12" s="316">
        <f>Q10/'List Values'!$B$16</f>
        <v>6.2E-4</v>
      </c>
      <c r="R12" s="316">
        <f>R10/'List Values'!$B$16</f>
        <v>4.1999999999999996E-4</v>
      </c>
      <c r="S12" s="316">
        <f>S10/'List Values'!$B$16</f>
        <v>1.7200000000000001E-4</v>
      </c>
    </row>
    <row r="13" spans="2:21" ht="15" x14ac:dyDescent="0.25">
      <c r="C13" s="88" t="s">
        <v>28</v>
      </c>
      <c r="D13" s="591"/>
      <c r="E13" s="316">
        <f>'Inhalation Exposures'!J80</f>
        <v>3.5709853644700637E-4</v>
      </c>
      <c r="F13" s="316">
        <f>'Inhalation Exposures'!L80</f>
        <v>2.4292417445374582E-4</v>
      </c>
      <c r="G13" s="316">
        <f>'Inhalation Exposures'!P80</f>
        <v>1.6638642085873E-4</v>
      </c>
      <c r="H13" s="316">
        <f>'Inhalation Exposures'!R80</f>
        <v>3.2402688882616782E-5</v>
      </c>
      <c r="I13" s="329"/>
      <c r="J13" s="329"/>
      <c r="K13" s="329"/>
      <c r="L13" s="329"/>
      <c r="M13" s="1"/>
      <c r="N13" s="565"/>
      <c r="O13" s="71" t="s">
        <v>27</v>
      </c>
      <c r="P13" s="316">
        <f>P11/'List Values'!$B$16</f>
        <v>1.7999999999999999E-2</v>
      </c>
      <c r="Q13" s="316">
        <f>Q11/'List Values'!$B$16</f>
        <v>2.3999999999999998E-4</v>
      </c>
      <c r="R13" s="316">
        <f>R11/'List Values'!$B$16</f>
        <v>1.5799999999999999E-4</v>
      </c>
      <c r="S13" s="316">
        <f>S11/'List Values'!$B$16</f>
        <v>5.8E-5</v>
      </c>
    </row>
    <row r="14" spans="2:21" x14ac:dyDescent="0.2">
      <c r="N14" s="565" t="str">
        <f>_xlfn.CONCAT("Worker with Gloves; 
PF of ",'List Values'!$B$17)</f>
        <v>Worker with Gloves; 
PF of 10</v>
      </c>
      <c r="O14" s="71" t="s">
        <v>103</v>
      </c>
      <c r="P14" s="316">
        <f>P10/'List Values'!$B$17</f>
        <v>2.4E-2</v>
      </c>
      <c r="Q14" s="316">
        <f>Q10/'List Values'!$B$17</f>
        <v>3.1E-4</v>
      </c>
      <c r="R14" s="316">
        <f>R10/'List Values'!$B$17</f>
        <v>2.0999999999999998E-4</v>
      </c>
      <c r="S14" s="316">
        <f>S10/'List Values'!$B$17</f>
        <v>8.6000000000000003E-5</v>
      </c>
    </row>
    <row r="15" spans="2:21" ht="21" x14ac:dyDescent="0.35">
      <c r="C15" s="83" t="s">
        <v>105</v>
      </c>
      <c r="N15" s="565"/>
      <c r="O15" s="71" t="s">
        <v>27</v>
      </c>
      <c r="P15" s="316">
        <f>P11/'List Values'!$B$17</f>
        <v>8.9999999999999993E-3</v>
      </c>
      <c r="Q15" s="316">
        <f>Q11/'List Values'!$B$17</f>
        <v>1.1999999999999999E-4</v>
      </c>
      <c r="R15" s="316">
        <f>R11/'List Values'!$B$17</f>
        <v>7.8999999999999996E-5</v>
      </c>
      <c r="S15" s="316">
        <f>S11/'List Values'!$B$17</f>
        <v>2.9E-5</v>
      </c>
    </row>
    <row r="16" spans="2:21" ht="28.5" customHeight="1" x14ac:dyDescent="0.2">
      <c r="B16" s="70"/>
      <c r="C16" s="568" t="s">
        <v>106</v>
      </c>
      <c r="D16" s="568" t="s">
        <v>107</v>
      </c>
      <c r="E16" s="568" t="s">
        <v>23</v>
      </c>
      <c r="F16" s="568" t="s">
        <v>108</v>
      </c>
      <c r="G16" s="568" t="s">
        <v>109</v>
      </c>
      <c r="H16" s="568"/>
      <c r="I16" s="90"/>
      <c r="J16" s="90"/>
      <c r="K16" s="90"/>
      <c r="L16" s="90"/>
      <c r="M16" s="90"/>
      <c r="N16" s="565" t="str">
        <f>_xlfn.CONCAT("Worker with Gloves; 
PF of ",'List Values'!$B$18)</f>
        <v>Worker with Gloves; 
PF of 20</v>
      </c>
      <c r="O16" s="71" t="s">
        <v>103</v>
      </c>
      <c r="P16" s="316">
        <f>P10/'List Values'!$B$18</f>
        <v>1.2E-2</v>
      </c>
      <c r="Q16" s="316">
        <f>Q10/'List Values'!$B$18</f>
        <v>1.55E-4</v>
      </c>
      <c r="R16" s="316">
        <f>R10/'List Values'!$B$18</f>
        <v>1.0499999999999999E-4</v>
      </c>
      <c r="S16" s="316">
        <f>S10/'List Values'!$B$18</f>
        <v>4.3000000000000002E-5</v>
      </c>
    </row>
    <row r="17" spans="2:20" ht="26.1" customHeight="1" x14ac:dyDescent="0.2">
      <c r="B17" s="70"/>
      <c r="C17" s="568"/>
      <c r="D17" s="568"/>
      <c r="E17" s="568"/>
      <c r="F17" s="568"/>
      <c r="G17" s="413" t="s">
        <v>110</v>
      </c>
      <c r="H17" s="413" t="s">
        <v>111</v>
      </c>
      <c r="I17" s="90"/>
      <c r="J17" s="90"/>
      <c r="K17" s="90"/>
      <c r="L17" s="90"/>
      <c r="M17" s="90"/>
      <c r="N17" s="565"/>
      <c r="O17" s="71" t="s">
        <v>27</v>
      </c>
      <c r="P17" s="316">
        <f>P11/'List Values'!$B$18</f>
        <v>4.4999999999999997E-3</v>
      </c>
      <c r="Q17" s="316">
        <f>Q11/'List Values'!$B$18</f>
        <v>5.9999999999999995E-5</v>
      </c>
      <c r="R17" s="316">
        <f>R11/'List Values'!$B$18</f>
        <v>3.9499999999999998E-5</v>
      </c>
      <c r="S17" s="316">
        <f>S11/'List Values'!$B$18</f>
        <v>1.45E-5</v>
      </c>
    </row>
    <row r="18" spans="2:20" ht="27.6" customHeight="1" x14ac:dyDescent="0.2">
      <c r="B18" s="70"/>
      <c r="C18" s="606" t="s">
        <v>164</v>
      </c>
      <c r="D18" s="580">
        <f>INDEX('Health Data'!$G:$G,MATCH($C$2,'Health Data'!$B:$B,0))</f>
        <v>0.96757990867579902</v>
      </c>
      <c r="E18" s="71" t="s">
        <v>103</v>
      </c>
      <c r="F18" s="412">
        <v>10</v>
      </c>
      <c r="G18" s="101">
        <f>D18/$F$10</f>
        <v>171.36769837107443</v>
      </c>
      <c r="H18" s="102">
        <f>D18/$F$11</f>
        <v>876.9603477573495</v>
      </c>
      <c r="I18" s="330"/>
      <c r="J18" s="330"/>
      <c r="K18" s="330"/>
      <c r="L18" s="330"/>
      <c r="M18" s="77"/>
    </row>
    <row r="19" spans="2:20" ht="25.5" customHeight="1" x14ac:dyDescent="0.35">
      <c r="B19" s="70"/>
      <c r="C19" s="577"/>
      <c r="D19" s="555"/>
      <c r="E19" s="71" t="s">
        <v>27</v>
      </c>
      <c r="F19" s="412">
        <v>10</v>
      </c>
      <c r="G19" s="101">
        <f>D18/$F$12</f>
        <v>732.62680616098737</v>
      </c>
      <c r="H19" s="102">
        <f>D18/$F$13</f>
        <v>3983.0531928391174</v>
      </c>
      <c r="I19" s="330"/>
      <c r="J19" s="330"/>
      <c r="K19" s="330"/>
      <c r="L19" s="330"/>
      <c r="M19" s="77"/>
      <c r="N19" s="83" t="s">
        <v>113</v>
      </c>
    </row>
    <row r="20" spans="2:20"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20" s="85" customFormat="1" ht="27.75" x14ac:dyDescent="0.35">
      <c r="B21" s="83"/>
      <c r="C21" s="83" t="s">
        <v>122</v>
      </c>
      <c r="F21" s="86"/>
      <c r="N21" s="571"/>
      <c r="O21" s="571"/>
      <c r="P21" s="571"/>
      <c r="Q21" s="571"/>
      <c r="R21" s="422" t="s">
        <v>116</v>
      </c>
      <c r="S21" s="66"/>
      <c r="T21" s="66"/>
    </row>
    <row r="22" spans="2:20" ht="29.25" customHeight="1" x14ac:dyDescent="0.2">
      <c r="B22" s="79"/>
      <c r="C22" s="568" t="s">
        <v>106</v>
      </c>
      <c r="D22" s="568" t="s">
        <v>107</v>
      </c>
      <c r="E22" s="568" t="s">
        <v>23</v>
      </c>
      <c r="F22" s="568" t="s">
        <v>108</v>
      </c>
      <c r="G22" s="568" t="s">
        <v>123</v>
      </c>
      <c r="H22" s="568"/>
      <c r="I22" s="90"/>
      <c r="J22" s="90"/>
      <c r="K22" s="90"/>
      <c r="L22" s="90"/>
      <c r="M22" s="90"/>
      <c r="N22" s="606" t="s">
        <v>164</v>
      </c>
      <c r="O22" s="589">
        <f>INDEX('Health Data'!$K:$K,MATCH($C$2,'Health Data'!$B:$B,0))</f>
        <v>1.34</v>
      </c>
      <c r="P22" s="72" t="s">
        <v>103</v>
      </c>
      <c r="Q22" s="412">
        <v>10</v>
      </c>
      <c r="R22" s="101">
        <f>IFERROR(O22/Q10, "")</f>
        <v>432.25806451612908</v>
      </c>
    </row>
    <row r="23" spans="2:20" ht="32.25" customHeight="1" x14ac:dyDescent="0.2">
      <c r="B23" s="79"/>
      <c r="C23" s="582"/>
      <c r="D23" s="568"/>
      <c r="E23" s="568"/>
      <c r="F23" s="568"/>
      <c r="G23" s="413" t="s">
        <v>110</v>
      </c>
      <c r="H23" s="413" t="s">
        <v>111</v>
      </c>
      <c r="I23" s="90"/>
      <c r="J23" s="90"/>
      <c r="K23" s="90"/>
      <c r="L23" s="90"/>
      <c r="M23" s="90"/>
      <c r="N23" s="577"/>
      <c r="O23" s="590"/>
      <c r="P23" s="72" t="s">
        <v>27</v>
      </c>
      <c r="Q23" s="412">
        <v>10</v>
      </c>
      <c r="R23" s="101">
        <f>IFERROR(O22/Q11, "")</f>
        <v>1116.6666666666667</v>
      </c>
    </row>
    <row r="24" spans="2:20" ht="33" customHeight="1" x14ac:dyDescent="0.2">
      <c r="B24" s="79"/>
      <c r="C24" s="605" t="s">
        <v>165</v>
      </c>
      <c r="D24" s="580">
        <f>INDEX('Health Data'!$P:$P,MATCH($C$2,'Health Data'!$B:$B,0))</f>
        <v>3.2934931506849306E-2</v>
      </c>
      <c r="E24" s="72" t="s">
        <v>103</v>
      </c>
      <c r="F24" s="412">
        <v>30</v>
      </c>
      <c r="G24" s="419">
        <f>D24/$G$10</f>
        <v>8.5163155025101993</v>
      </c>
      <c r="H24" s="419">
        <f>D24/$G$11</f>
        <v>43.581556359125805</v>
      </c>
      <c r="I24" s="96"/>
      <c r="J24" s="96"/>
      <c r="K24" s="96"/>
      <c r="L24" s="96"/>
      <c r="M24" s="77"/>
      <c r="N24" s="74"/>
      <c r="O24" s="75"/>
      <c r="P24" s="81"/>
      <c r="R24" s="77"/>
    </row>
    <row r="25" spans="2:20" ht="33" customHeight="1" x14ac:dyDescent="0.35">
      <c r="B25" s="79"/>
      <c r="C25" s="577"/>
      <c r="D25" s="555"/>
      <c r="E25" s="72" t="s">
        <v>27</v>
      </c>
      <c r="F25" s="412">
        <v>30</v>
      </c>
      <c r="G25" s="419">
        <f>D24/$G$12</f>
        <v>36.408734470792758</v>
      </c>
      <c r="H25" s="419">
        <f>D24/$G$13</f>
        <v>197.94242424874702</v>
      </c>
      <c r="I25" s="96"/>
      <c r="J25" s="96"/>
      <c r="K25" s="96"/>
      <c r="L25" s="96"/>
      <c r="M25" s="77"/>
      <c r="N25" s="83" t="s">
        <v>125</v>
      </c>
      <c r="O25" s="85"/>
      <c r="P25" s="85"/>
      <c r="Q25" s="85"/>
      <c r="R25" s="85"/>
      <c r="S25" s="85"/>
      <c r="T25" s="85"/>
    </row>
    <row r="26" spans="2:20" ht="25.5" x14ac:dyDescent="0.2">
      <c r="B26" s="79"/>
      <c r="C26" s="80"/>
      <c r="D26" s="75"/>
      <c r="E26" s="81"/>
      <c r="F26" s="75"/>
      <c r="G26" s="77"/>
      <c r="H26" s="77"/>
      <c r="I26" s="77"/>
      <c r="J26" s="77"/>
      <c r="K26" s="77"/>
      <c r="L26" s="77"/>
      <c r="M26" s="77"/>
      <c r="N26" s="566" t="s">
        <v>106</v>
      </c>
      <c r="O26" s="566" t="s">
        <v>121</v>
      </c>
      <c r="P26" s="566" t="s">
        <v>23</v>
      </c>
      <c r="Q26" s="566" t="s">
        <v>108</v>
      </c>
      <c r="R26" s="411" t="s">
        <v>123</v>
      </c>
    </row>
    <row r="27" spans="2:20" ht="33" customHeight="1" x14ac:dyDescent="0.35">
      <c r="B27" s="79"/>
      <c r="C27" s="83" t="s">
        <v>126</v>
      </c>
      <c r="D27" s="85"/>
      <c r="E27" s="85"/>
      <c r="F27" s="85"/>
      <c r="G27" s="85"/>
      <c r="H27" s="85"/>
      <c r="I27" s="85"/>
      <c r="J27" s="85"/>
      <c r="K27" s="85"/>
      <c r="L27" s="85"/>
      <c r="M27" s="77"/>
      <c r="N27" s="581"/>
      <c r="O27" s="567"/>
      <c r="P27" s="567"/>
      <c r="Q27" s="567"/>
      <c r="R27" s="411" t="s">
        <v>116</v>
      </c>
    </row>
    <row r="28" spans="2:20" ht="33" customHeight="1" x14ac:dyDescent="0.2">
      <c r="B28" s="79"/>
      <c r="C28" s="582" t="s">
        <v>127</v>
      </c>
      <c r="D28" s="566" t="s">
        <v>128</v>
      </c>
      <c r="E28" s="566" t="s">
        <v>23</v>
      </c>
      <c r="F28" s="583" t="s">
        <v>129</v>
      </c>
      <c r="G28" s="568" t="s">
        <v>130</v>
      </c>
      <c r="H28" s="568"/>
      <c r="I28" s="90"/>
      <c r="J28" s="90"/>
      <c r="K28" s="90"/>
      <c r="L28" s="90"/>
      <c r="M28" s="77"/>
      <c r="N28" s="577" t="s">
        <v>166</v>
      </c>
      <c r="O28" s="580">
        <f>INDEX('Health Data'!$T:$T,MATCH($C$2,'Health Data'!$B:$B,0))</f>
        <v>4.8000000000000001E-2</v>
      </c>
      <c r="P28" s="72" t="s">
        <v>103</v>
      </c>
      <c r="Q28" s="412">
        <v>30</v>
      </c>
      <c r="R28" s="107">
        <f>IFERROR(O28/$R$10, "")</f>
        <v>22.857142857142858</v>
      </c>
    </row>
    <row r="29" spans="2:20" ht="33" customHeight="1" x14ac:dyDescent="0.2">
      <c r="B29" s="79"/>
      <c r="C29" s="530"/>
      <c r="D29" s="567"/>
      <c r="E29" s="567"/>
      <c r="F29" s="584"/>
      <c r="G29" s="413" t="s">
        <v>131</v>
      </c>
      <c r="H29" s="413" t="s">
        <v>28</v>
      </c>
      <c r="I29" s="90"/>
      <c r="J29" s="90"/>
      <c r="K29" s="90"/>
      <c r="L29" s="90"/>
      <c r="M29" s="77"/>
      <c r="N29" s="577"/>
      <c r="O29" s="555"/>
      <c r="P29" s="72" t="s">
        <v>27</v>
      </c>
      <c r="Q29" s="412">
        <v>30</v>
      </c>
      <c r="R29" s="107">
        <f>IFERROR(O28/$R$11, "")</f>
        <v>60.759493670886073</v>
      </c>
    </row>
    <row r="30" spans="2:20" ht="33" customHeight="1" x14ac:dyDescent="0.2">
      <c r="B30" s="79"/>
      <c r="C30" s="604" t="s">
        <v>167</v>
      </c>
      <c r="D30" s="574">
        <f>INDEX('Health Data'!$Y:$Y,MATCH($C$2,'Health Data'!$B:$B,0))</f>
        <v>2.1999999999999999E-2</v>
      </c>
      <c r="E30" s="71" t="s">
        <v>103</v>
      </c>
      <c r="F30" s="107">
        <v>1E-4</v>
      </c>
      <c r="G30" s="103">
        <f>H10*D30</f>
        <v>2.1379087846097668E-5</v>
      </c>
      <c r="H30" s="403">
        <f>H11*D30</f>
        <v>4.1777089315701778E-6</v>
      </c>
      <c r="I30" s="331"/>
      <c r="J30" s="331"/>
      <c r="K30" s="331"/>
      <c r="L30" s="331"/>
      <c r="M30" s="77"/>
    </row>
    <row r="31" spans="2:20" ht="33" customHeight="1" x14ac:dyDescent="0.35">
      <c r="B31" s="79"/>
      <c r="C31" s="604"/>
      <c r="D31" s="575"/>
      <c r="E31" s="71" t="s">
        <v>27</v>
      </c>
      <c r="F31" s="107">
        <v>1E-4</v>
      </c>
      <c r="G31" s="105">
        <f>H12*D30</f>
        <v>3.8755829177326407E-6</v>
      </c>
      <c r="H31" s="403">
        <f>H13*D30</f>
        <v>7.1285915541756919E-7</v>
      </c>
      <c r="I31" s="331"/>
      <c r="J31" s="331"/>
      <c r="K31" s="331"/>
      <c r="L31" s="331"/>
      <c r="M31" s="77"/>
      <c r="N31" s="83" t="s">
        <v>126</v>
      </c>
      <c r="O31" s="85"/>
      <c r="P31" s="85"/>
      <c r="Q31" s="85"/>
      <c r="R31" s="85"/>
    </row>
    <row r="32" spans="2:20" ht="33" customHeight="1" x14ac:dyDescent="0.2">
      <c r="B32" s="79"/>
      <c r="I32" s="77"/>
      <c r="J32" s="77"/>
      <c r="K32" s="77"/>
      <c r="L32" s="77"/>
      <c r="M32" s="77"/>
      <c r="N32" s="566" t="s">
        <v>127</v>
      </c>
      <c r="O32" s="566" t="s">
        <v>133</v>
      </c>
      <c r="P32" s="566" t="s">
        <v>23</v>
      </c>
      <c r="Q32" s="566" t="s">
        <v>129</v>
      </c>
      <c r="R32" s="411" t="s">
        <v>130</v>
      </c>
    </row>
    <row r="33" spans="2:20" ht="33" customHeight="1" x14ac:dyDescent="0.35">
      <c r="B33" s="79"/>
      <c r="C33" s="83" t="s">
        <v>134</v>
      </c>
      <c r="I33" s="77"/>
      <c r="J33" s="77"/>
      <c r="K33" s="77"/>
      <c r="L33" s="77"/>
      <c r="M33" s="77"/>
      <c r="N33" s="567"/>
      <c r="O33" s="567"/>
      <c r="P33" s="567"/>
      <c r="Q33" s="567"/>
      <c r="R33" s="411" t="s">
        <v>135</v>
      </c>
    </row>
    <row r="34" spans="2:20" ht="33" customHeight="1" thickBot="1" x14ac:dyDescent="0.4">
      <c r="B34" s="79"/>
      <c r="C34" s="83"/>
      <c r="I34" s="77"/>
      <c r="J34" s="77"/>
      <c r="K34" s="77"/>
      <c r="L34" s="77"/>
      <c r="M34" s="77"/>
      <c r="N34" s="604" t="s">
        <v>167</v>
      </c>
      <c r="O34" s="574">
        <f>INDEX('Health Data'!$AB:$AB,MATCH($C$2,'Health Data'!$B:$B,0))</f>
        <v>4.6399999999999997E-2</v>
      </c>
      <c r="P34" s="71" t="s">
        <v>103</v>
      </c>
      <c r="Q34" s="561">
        <v>1E-4</v>
      </c>
      <c r="R34" s="107">
        <f>IFERROR(S10*O34, "")</f>
        <v>3.9903999999999996E-5</v>
      </c>
    </row>
    <row r="35" spans="2:20" ht="33" customHeight="1" x14ac:dyDescent="0.25">
      <c r="B35" s="79"/>
      <c r="C35" s="325" t="s">
        <v>136</v>
      </c>
      <c r="I35" s="77"/>
      <c r="J35" s="77"/>
      <c r="K35" s="77"/>
      <c r="L35" s="77"/>
      <c r="M35" s="77"/>
      <c r="N35" s="604"/>
      <c r="O35" s="575"/>
      <c r="P35" s="71" t="s">
        <v>27</v>
      </c>
      <c r="Q35" s="596"/>
      <c r="R35" s="107">
        <f>IFERROR(S11*O34, "")</f>
        <v>1.3456E-5</v>
      </c>
    </row>
    <row r="36" spans="2:20" ht="33" customHeight="1" thickBot="1" x14ac:dyDescent="0.3">
      <c r="B36" s="79"/>
      <c r="C36" s="326" t="s">
        <v>28</v>
      </c>
      <c r="I36" s="77"/>
      <c r="J36" s="77"/>
      <c r="K36" s="77"/>
      <c r="L36" s="77"/>
      <c r="M36" s="77"/>
    </row>
    <row r="37" spans="2:20" ht="33" customHeight="1" x14ac:dyDescent="0.35">
      <c r="B37" s="79"/>
      <c r="C37" s="317"/>
      <c r="I37" s="77"/>
      <c r="J37" s="77"/>
      <c r="K37" s="77"/>
      <c r="L37" s="77"/>
      <c r="M37" s="77"/>
      <c r="N37" s="83" t="s">
        <v>137</v>
      </c>
    </row>
    <row r="38" spans="2:20" ht="33" customHeight="1" thickBot="1" x14ac:dyDescent="0.25">
      <c r="B38" s="79"/>
      <c r="I38" s="77"/>
      <c r="J38" s="77"/>
      <c r="K38" s="77"/>
      <c r="L38" s="77"/>
      <c r="M38" s="77"/>
    </row>
    <row r="39" spans="2:20" ht="33" customHeight="1" x14ac:dyDescent="0.2">
      <c r="B39" s="548" t="s">
        <v>138</v>
      </c>
      <c r="C39" s="540" t="s">
        <v>107</v>
      </c>
      <c r="D39" s="540" t="s">
        <v>23</v>
      </c>
      <c r="E39" s="540" t="s">
        <v>108</v>
      </c>
      <c r="F39" s="540" t="str">
        <f>_xlfn.CONCAT("Exposure Estimates: ",$C$42," MOE")</f>
        <v>Exposure Estimates:  MOE</v>
      </c>
      <c r="G39" s="540"/>
      <c r="H39" s="540"/>
      <c r="I39" s="540"/>
      <c r="J39" s="540"/>
      <c r="K39" s="542"/>
      <c r="L39" s="90"/>
      <c r="M39" s="77"/>
      <c r="N39" s="532" t="s">
        <v>121</v>
      </c>
      <c r="O39" s="540" t="s">
        <v>23</v>
      </c>
      <c r="P39" s="540" t="s">
        <v>108</v>
      </c>
      <c r="Q39" s="540" t="str">
        <f>_xlfn.CONCAT("Exposure Estimates: ",$C$42," MOE")</f>
        <v>Exposure Estimates:  MOE</v>
      </c>
      <c r="R39" s="540"/>
      <c r="S39" s="540"/>
      <c r="T39" s="542"/>
    </row>
    <row r="40" spans="2:20" ht="33" customHeight="1" thickBot="1" x14ac:dyDescent="0.25">
      <c r="B40" s="549"/>
      <c r="C40" s="541"/>
      <c r="D40" s="541"/>
      <c r="E40" s="541"/>
      <c r="F40" s="416" t="s">
        <v>139</v>
      </c>
      <c r="G40" s="416" t="s">
        <v>34</v>
      </c>
      <c r="H40" s="416" t="s">
        <v>35</v>
      </c>
      <c r="I40" s="416" t="s">
        <v>32</v>
      </c>
      <c r="J40" s="416" t="s">
        <v>140</v>
      </c>
      <c r="K40" s="290" t="s">
        <v>31</v>
      </c>
      <c r="L40" s="90"/>
      <c r="M40" s="77"/>
      <c r="N40" s="533"/>
      <c r="O40" s="541"/>
      <c r="P40" s="541"/>
      <c r="Q40" s="318" t="s">
        <v>135</v>
      </c>
      <c r="R40" s="318" t="s">
        <v>33</v>
      </c>
      <c r="S40" s="318" t="s">
        <v>141</v>
      </c>
      <c r="T40" s="319" t="s">
        <v>142</v>
      </c>
    </row>
    <row r="41" spans="2:20" ht="33" customHeight="1" x14ac:dyDescent="0.2">
      <c r="B41" s="550" t="s">
        <v>143</v>
      </c>
      <c r="C41" s="555">
        <f>INDEX('Health Data'!$G:$G,MATCH($C$2,'Health Data'!$B:$B,0))</f>
        <v>0.96757990867579902</v>
      </c>
      <c r="D41" s="292" t="s">
        <v>103</v>
      </c>
      <c r="E41" s="421">
        <v>10</v>
      </c>
      <c r="F41" s="304">
        <f>IFERROR($C41/IF($C$36="Worker",$F$10,$F$11), "")</f>
        <v>876.9603477573495</v>
      </c>
      <c r="G41" s="305">
        <f>IFERROR($F41*'List Values'!$B$9, "")</f>
        <v>8769.6034775734952</v>
      </c>
      <c r="H41" s="305">
        <f>IFERROR($F41*'List Values'!$B$10, "")</f>
        <v>21924.008693933738</v>
      </c>
      <c r="I41" s="305">
        <f>IFERROR($F41*'List Values'!$B$11, "")</f>
        <v>43848.017387867476</v>
      </c>
      <c r="J41" s="305">
        <f>IFERROR($F41*'List Values'!$B$12, "")</f>
        <v>876960.34775734949</v>
      </c>
      <c r="K41" s="306">
        <f>IFERROR($F41*'List Values'!$B$13, "")</f>
        <v>8769603.4775734954</v>
      </c>
      <c r="L41" s="330"/>
      <c r="M41" s="77"/>
      <c r="N41" s="534">
        <f>INDEX('Health Data'!$K:$K,MATCH($C$2,'Health Data'!$B:$B,0))</f>
        <v>1.34</v>
      </c>
      <c r="O41" s="292" t="s">
        <v>103</v>
      </c>
      <c r="P41" s="421">
        <v>10</v>
      </c>
      <c r="Q41" s="305">
        <f>IFERROR($N41/Q$10, "")</f>
        <v>432.25806451612908</v>
      </c>
      <c r="R41" s="305">
        <f>IFERROR($N41/$Q$12, "")</f>
        <v>2161.2903225806454</v>
      </c>
      <c r="S41" s="305">
        <f>IFERROR($N41/$Q$14, "")</f>
        <v>4322.5806451612907</v>
      </c>
      <c r="T41" s="306">
        <f>IFERROR($N41/$Q$16, "")</f>
        <v>8645.1612903225814</v>
      </c>
    </row>
    <row r="42" spans="2:20" ht="33" customHeight="1" thickBot="1" x14ac:dyDescent="0.25">
      <c r="B42" s="551"/>
      <c r="C42" s="556"/>
      <c r="D42" s="293" t="s">
        <v>27</v>
      </c>
      <c r="E42" s="418">
        <v>10</v>
      </c>
      <c r="F42" s="303">
        <f>IFERROR($C41/IF($C$36="Worker",$F$12,$F$13), "")</f>
        <v>3983.0531928391174</v>
      </c>
      <c r="G42" s="303">
        <f>IFERROR($F42*'List Values'!$B$9, "")</f>
        <v>39830.531928391174</v>
      </c>
      <c r="H42" s="303">
        <f>IFERROR($F42*'List Values'!$B$10, "")</f>
        <v>99576.329820977931</v>
      </c>
      <c r="I42" s="303">
        <f>IFERROR($F42*'List Values'!$B$11, "")</f>
        <v>199152.65964195586</v>
      </c>
      <c r="J42" s="303">
        <f>IFERROR($F42*'List Values'!$B$12, "")</f>
        <v>3983053.1928391173</v>
      </c>
      <c r="K42" s="307">
        <f>IFERROR($F42*'List Values'!$B$13, "")</f>
        <v>39830531.928391173</v>
      </c>
      <c r="L42" s="330"/>
      <c r="M42" s="77"/>
      <c r="N42" s="535"/>
      <c r="O42" s="293" t="s">
        <v>27</v>
      </c>
      <c r="P42" s="418">
        <v>10</v>
      </c>
      <c r="Q42" s="321">
        <f>IFERROR($N41/$Q$11, "")</f>
        <v>1116.6666666666667</v>
      </c>
      <c r="R42" s="321">
        <f>IFERROR($N41/$Q$13, "")</f>
        <v>5583.3333333333339</v>
      </c>
      <c r="S42" s="321">
        <f>IFERROR($N41/$Q$15, "")</f>
        <v>11166.666666666668</v>
      </c>
      <c r="T42" s="322">
        <f>IFERROR($N41/$Q$17, "")</f>
        <v>22333.333333333336</v>
      </c>
    </row>
    <row r="43" spans="2:20" ht="33" customHeight="1" x14ac:dyDescent="0.2">
      <c r="B43" s="553" t="s">
        <v>145</v>
      </c>
      <c r="C43" s="555">
        <f>INDEX('Health Data'!$P:$P,MATCH($C$2,'Health Data'!$B:$B,0))</f>
        <v>3.2934931506849306E-2</v>
      </c>
      <c r="D43" s="292" t="s">
        <v>103</v>
      </c>
      <c r="E43" s="421">
        <v>30</v>
      </c>
      <c r="F43" s="304">
        <f>IFERROR($C43/IF($C$36="Worker",$G$10,$G$11), "")</f>
        <v>43.581556359125805</v>
      </c>
      <c r="G43" s="305">
        <f>IFERROR($F43*'List Values'!$B$9, "")</f>
        <v>435.81556359125807</v>
      </c>
      <c r="H43" s="305">
        <f>IFERROR($F43*'List Values'!$B$10, "")</f>
        <v>1089.5389089781452</v>
      </c>
      <c r="I43" s="305">
        <f>IFERROR($F43*'List Values'!$B$11, "")</f>
        <v>2179.0778179562903</v>
      </c>
      <c r="J43" s="305">
        <f>IFERROR($F43*'List Values'!$B$12, "")</f>
        <v>43581.556359125803</v>
      </c>
      <c r="K43" s="306">
        <f>IFERROR($F43*'List Values'!$B$13, "")</f>
        <v>435815.56359125808</v>
      </c>
      <c r="L43" s="330"/>
      <c r="M43" s="77"/>
      <c r="N43" s="534">
        <f>INDEX('Health Data'!$T:$T,MATCH($C$2,'Health Data'!$B:$B,0))</f>
        <v>4.8000000000000001E-2</v>
      </c>
      <c r="O43" s="292" t="s">
        <v>103</v>
      </c>
      <c r="P43" s="421">
        <v>30</v>
      </c>
      <c r="Q43" s="323">
        <f>IFERROR($N$43/$R$10, "")</f>
        <v>22.857142857142858</v>
      </c>
      <c r="R43" s="323">
        <f>IFERROR($N$43/$R$12, "")</f>
        <v>114.28571428571429</v>
      </c>
      <c r="S43" s="323">
        <f>IFERROR($N$43/$R$14, "")</f>
        <v>228.57142857142858</v>
      </c>
      <c r="T43" s="323">
        <f>IFERROR($N$43/$R$16, "")</f>
        <v>457.14285714285717</v>
      </c>
    </row>
    <row r="44" spans="2:20" ht="33" customHeight="1" thickBot="1" x14ac:dyDescent="0.25">
      <c r="B44" s="554"/>
      <c r="C44" s="556"/>
      <c r="D44" s="293" t="s">
        <v>27</v>
      </c>
      <c r="E44" s="418">
        <v>30</v>
      </c>
      <c r="F44" s="303">
        <f>IFERROR($C43/IF($C$36="Worker",$G$12,$G$13), "")</f>
        <v>197.94242424874702</v>
      </c>
      <c r="G44" s="303">
        <f>IFERROR($F44*'List Values'!$B$9, "")</f>
        <v>1979.4242424874701</v>
      </c>
      <c r="H44" s="303">
        <f>IFERROR($F44*'List Values'!$B$10, "")</f>
        <v>4948.5606062186753</v>
      </c>
      <c r="I44" s="303">
        <f>IFERROR($F44*'List Values'!$B$11, "")</f>
        <v>9897.1212124373506</v>
      </c>
      <c r="J44" s="303">
        <f>IFERROR($F44*'List Values'!$B$12, "")</f>
        <v>197942.424248747</v>
      </c>
      <c r="K44" s="307">
        <f>IFERROR($F44*'List Values'!$B$13, "")</f>
        <v>1979424.2424874702</v>
      </c>
      <c r="L44" s="330"/>
      <c r="M44" s="77"/>
      <c r="N44" s="603"/>
      <c r="O44" s="320" t="s">
        <v>27</v>
      </c>
      <c r="P44" s="420">
        <v>30</v>
      </c>
      <c r="Q44" s="323">
        <f>IFERROR($N$43/$R$11, "")</f>
        <v>60.759493670886073</v>
      </c>
      <c r="R44" s="323">
        <f>IFERROR($N$43/$R$13, "")</f>
        <v>303.79746835443041</v>
      </c>
      <c r="S44" s="323">
        <f>IFERROR($N$43/$R$15, "")</f>
        <v>607.59493670886081</v>
      </c>
      <c r="T44" s="323">
        <f>IFERROR($N$43/$R$17, "")</f>
        <v>1215.1898734177216</v>
      </c>
    </row>
    <row r="45" spans="2:20" ht="33" customHeight="1" x14ac:dyDescent="0.2">
      <c r="B45" s="294"/>
      <c r="C45" s="547" t="s">
        <v>146</v>
      </c>
      <c r="D45" s="530" t="s">
        <v>23</v>
      </c>
      <c r="E45" s="530" t="s">
        <v>108</v>
      </c>
      <c r="F45" s="530" t="str">
        <f>_xlfn.CONCAT("Exposure Estimates: ",$C$42," MOE")</f>
        <v>Exposure Estimates:  MOE</v>
      </c>
      <c r="G45" s="530"/>
      <c r="H45" s="530"/>
      <c r="I45" s="530"/>
      <c r="J45" s="530"/>
      <c r="K45" s="531"/>
      <c r="L45" s="90"/>
      <c r="M45" s="77"/>
      <c r="N45" s="532" t="s">
        <v>147</v>
      </c>
      <c r="O45" s="540" t="s">
        <v>23</v>
      </c>
      <c r="P45" s="540" t="s">
        <v>108</v>
      </c>
      <c r="Q45" s="540" t="str">
        <f>_xlfn.CONCAT("Exposure Estimates: ",$I$4," MOE")</f>
        <v>Exposure Estimates:  MOE</v>
      </c>
      <c r="R45" s="540"/>
      <c r="S45" s="540"/>
      <c r="T45" s="542"/>
    </row>
    <row r="46" spans="2:20" ht="33" customHeight="1" thickBot="1" x14ac:dyDescent="0.25">
      <c r="B46" s="294"/>
      <c r="C46" s="533"/>
      <c r="D46" s="541"/>
      <c r="E46" s="541"/>
      <c r="F46" s="416" t="s">
        <v>139</v>
      </c>
      <c r="G46" s="416" t="s">
        <v>34</v>
      </c>
      <c r="H46" s="416" t="s">
        <v>35</v>
      </c>
      <c r="I46" s="416" t="s">
        <v>32</v>
      </c>
      <c r="J46" s="416" t="s">
        <v>140</v>
      </c>
      <c r="K46" s="290" t="s">
        <v>31</v>
      </c>
      <c r="L46" s="90"/>
      <c r="M46" s="77"/>
      <c r="N46" s="533"/>
      <c r="O46" s="541"/>
      <c r="P46" s="541"/>
      <c r="Q46" s="318" t="s">
        <v>135</v>
      </c>
      <c r="R46" s="318" t="s">
        <v>33</v>
      </c>
      <c r="S46" s="318" t="s">
        <v>141</v>
      </c>
      <c r="T46" s="319" t="s">
        <v>142</v>
      </c>
    </row>
    <row r="47" spans="2:20" ht="33" customHeight="1" x14ac:dyDescent="0.2">
      <c r="B47" s="545" t="s">
        <v>148</v>
      </c>
      <c r="C47" s="599">
        <f>INDEX('Health Data'!$Y:$Y,MATCH($C$2,'Health Data'!$B:$B,0))</f>
        <v>2.1999999999999999E-2</v>
      </c>
      <c r="D47" s="299" t="s">
        <v>103</v>
      </c>
      <c r="E47" s="334">
        <v>1E-4</v>
      </c>
      <c r="F47" s="340">
        <f>IFERROR($C47*IF($C$36="Worker",$H$10,$H$11), "")</f>
        <v>4.1777089315701778E-6</v>
      </c>
      <c r="G47" s="341">
        <f>IFERROR($F47/'List Values'!$B$9, "")</f>
        <v>4.177708931570178E-7</v>
      </c>
      <c r="H47" s="341">
        <f>IFERROR($F47/'List Values'!$B$10, "")</f>
        <v>1.671083572628071E-7</v>
      </c>
      <c r="I47" s="341">
        <f>IFERROR($F47/'List Values'!$B$11, "")</f>
        <v>8.355417863140355E-8</v>
      </c>
      <c r="J47" s="341">
        <f>IFERROR($F47/'List Values'!$B$12, "")</f>
        <v>4.1777089315701778E-9</v>
      </c>
      <c r="K47" s="342">
        <f>IFERROR($F47/'List Values'!$B$13, "")</f>
        <v>4.1777089315701776E-10</v>
      </c>
      <c r="L47" s="333"/>
      <c r="M47" s="77"/>
      <c r="N47" s="600">
        <f>INDEX('Health Data'!$AB:$AB,MATCH($C$2,'Health Data'!$B:$B,0))</f>
        <v>4.6399999999999997E-2</v>
      </c>
      <c r="O47" s="299" t="s">
        <v>103</v>
      </c>
      <c r="P47" s="601">
        <v>1E-4</v>
      </c>
      <c r="Q47" s="301">
        <f>IFERROR($N$47*$S10, "")</f>
        <v>3.9903999999999996E-5</v>
      </c>
      <c r="R47" s="301">
        <f>IFERROR($N$47*$S12, "")</f>
        <v>7.9807999999999999E-6</v>
      </c>
      <c r="S47" s="301">
        <f>IFERROR($N$47*$S14, "")</f>
        <v>3.9903999999999999E-6</v>
      </c>
      <c r="T47" s="301">
        <f>IFERROR($N$47*$S16, "")</f>
        <v>1.9952E-6</v>
      </c>
    </row>
    <row r="48" spans="2:20" ht="33" customHeight="1" thickBot="1" x14ac:dyDescent="0.25">
      <c r="B48" s="546"/>
      <c r="C48" s="544"/>
      <c r="D48" s="293" t="s">
        <v>27</v>
      </c>
      <c r="E48" s="335">
        <v>1E-4</v>
      </c>
      <c r="F48" s="337">
        <f>IFERROR($C47*IF($C$36="Worker",$H$12,$H$13), "")</f>
        <v>7.1285915541756919E-7</v>
      </c>
      <c r="G48" s="338">
        <f>IFERROR($F48/'List Values'!$B$9, "")</f>
        <v>7.1285915541756916E-8</v>
      </c>
      <c r="H48" s="338">
        <f>IFERROR($F48/'List Values'!$B$10, "")</f>
        <v>2.8514366216702769E-8</v>
      </c>
      <c r="I48" s="338">
        <f>IFERROR($F48/'List Values'!$B$11, "")</f>
        <v>1.4257183108351385E-8</v>
      </c>
      <c r="J48" s="338">
        <f>IFERROR($F48/'List Values'!$B$12, "")</f>
        <v>7.1285915541756917E-10</v>
      </c>
      <c r="K48" s="339">
        <f>IFERROR($F48/'List Values'!$B$13, "")</f>
        <v>7.1285915541756922E-11</v>
      </c>
      <c r="L48" s="333"/>
      <c r="M48" s="77"/>
      <c r="N48" s="564"/>
      <c r="O48" s="293" t="s">
        <v>27</v>
      </c>
      <c r="P48" s="602"/>
      <c r="Q48" s="321">
        <f>IFERROR($N$47*$S11, "")</f>
        <v>1.3456E-5</v>
      </c>
      <c r="R48" s="321">
        <f>IFERROR($N$47*$S13, "")</f>
        <v>2.6911999999999997E-6</v>
      </c>
      <c r="S48" s="321">
        <f>IFERROR($N$47*$S15, "")</f>
        <v>1.3455999999999999E-6</v>
      </c>
      <c r="T48" s="321">
        <f>IFERROR($N$47*$S17, "")</f>
        <v>6.7279999999999994E-7</v>
      </c>
    </row>
    <row r="49" spans="2:19" ht="33" customHeight="1" x14ac:dyDescent="0.2">
      <c r="B49" s="79"/>
      <c r="M49" s="77"/>
    </row>
    <row r="50" spans="2:19" ht="33" customHeight="1" x14ac:dyDescent="0.2">
      <c r="B50" s="79"/>
      <c r="M50" s="77"/>
    </row>
    <row r="51" spans="2:19" ht="33" customHeight="1" x14ac:dyDescent="0.2">
      <c r="B51" s="79"/>
      <c r="M51" s="77"/>
    </row>
    <row r="52" spans="2:19" ht="33" customHeight="1" x14ac:dyDescent="0.2">
      <c r="B52" s="79"/>
      <c r="M52" s="77"/>
    </row>
    <row r="53" spans="2:19" ht="33" customHeight="1" x14ac:dyDescent="0.2">
      <c r="B53" s="79"/>
      <c r="M53" s="77"/>
    </row>
    <row r="54" spans="2:19" ht="33" customHeight="1" x14ac:dyDescent="0.2">
      <c r="B54" s="79"/>
      <c r="M54" s="77"/>
    </row>
    <row r="55" spans="2:19" s="85" customFormat="1" ht="21" x14ac:dyDescent="0.35">
      <c r="C55" s="66"/>
      <c r="D55" s="66"/>
      <c r="E55" s="66"/>
      <c r="F55" s="66"/>
      <c r="G55" s="66"/>
      <c r="H55" s="66"/>
      <c r="I55" s="66"/>
      <c r="J55" s="66"/>
      <c r="K55" s="66"/>
      <c r="L55" s="66"/>
      <c r="O55" s="66"/>
      <c r="P55" s="66"/>
      <c r="Q55" s="66"/>
      <c r="R55" s="66"/>
      <c r="S55" s="66"/>
    </row>
    <row r="56" spans="2:19" ht="25.5" customHeight="1" x14ac:dyDescent="0.2">
      <c r="B56" s="82"/>
      <c r="M56" s="90"/>
    </row>
    <row r="57" spans="2:19" ht="14.45" customHeight="1" x14ac:dyDescent="0.2">
      <c r="B57" s="82"/>
      <c r="M57" s="90"/>
    </row>
    <row r="58" spans="2:19" x14ac:dyDescent="0.2">
      <c r="B58" s="82"/>
      <c r="M58" s="89"/>
    </row>
    <row r="59" spans="2:19" x14ac:dyDescent="0.2">
      <c r="B59" s="82"/>
      <c r="M59" s="89"/>
    </row>
    <row r="63" spans="2:19" ht="29.1" customHeight="1" x14ac:dyDescent="0.2"/>
  </sheetData>
  <sheetProtection sheet="1" objects="1" scenarios="1" formatCells="0" formatColumns="0" formatRows="0"/>
  <mergeCells count="77">
    <mergeCell ref="C8:C9"/>
    <mergeCell ref="D8:D9"/>
    <mergeCell ref="N8:N9"/>
    <mergeCell ref="O8:O9"/>
    <mergeCell ref="D10:D11"/>
    <mergeCell ref="N10:N11"/>
    <mergeCell ref="Q20:Q21"/>
    <mergeCell ref="D12:D13"/>
    <mergeCell ref="N12:N13"/>
    <mergeCell ref="N14:N15"/>
    <mergeCell ref="C16:C17"/>
    <mergeCell ref="D16:D17"/>
    <mergeCell ref="E16:E17"/>
    <mergeCell ref="F16:F17"/>
    <mergeCell ref="G16:H16"/>
    <mergeCell ref="N16:N17"/>
    <mergeCell ref="C18:C19"/>
    <mergeCell ref="D18:D19"/>
    <mergeCell ref="N20:N21"/>
    <mergeCell ref="O20:O21"/>
    <mergeCell ref="P20:P21"/>
    <mergeCell ref="O22:O23"/>
    <mergeCell ref="C24:C25"/>
    <mergeCell ref="D24:D25"/>
    <mergeCell ref="N26:N27"/>
    <mergeCell ref="O26:O27"/>
    <mergeCell ref="C22:C23"/>
    <mergeCell ref="D22:D23"/>
    <mergeCell ref="E22:E23"/>
    <mergeCell ref="F22:F23"/>
    <mergeCell ref="G22:H22"/>
    <mergeCell ref="N22:N23"/>
    <mergeCell ref="Q32:Q33"/>
    <mergeCell ref="Q26:Q27"/>
    <mergeCell ref="C28:C29"/>
    <mergeCell ref="D28:D29"/>
    <mergeCell ref="E28:E29"/>
    <mergeCell ref="F28:F29"/>
    <mergeCell ref="G28:H28"/>
    <mergeCell ref="N28:N29"/>
    <mergeCell ref="O28:O29"/>
    <mergeCell ref="P26:P27"/>
    <mergeCell ref="C30:C31"/>
    <mergeCell ref="D30:D31"/>
    <mergeCell ref="N32:N33"/>
    <mergeCell ref="O32:O33"/>
    <mergeCell ref="P32:P33"/>
    <mergeCell ref="Q34:Q35"/>
    <mergeCell ref="B39:B40"/>
    <mergeCell ref="C39:C40"/>
    <mergeCell ref="D39:D40"/>
    <mergeCell ref="E39:E40"/>
    <mergeCell ref="F39:K39"/>
    <mergeCell ref="N39:N40"/>
    <mergeCell ref="O39:O40"/>
    <mergeCell ref="P39:P40"/>
    <mergeCell ref="Q39:T39"/>
    <mergeCell ref="B43:B44"/>
    <mergeCell ref="C43:C44"/>
    <mergeCell ref="N43:N44"/>
    <mergeCell ref="N34:N35"/>
    <mergeCell ref="O34:O35"/>
    <mergeCell ref="B41:B42"/>
    <mergeCell ref="C41:C42"/>
    <mergeCell ref="N41:N42"/>
    <mergeCell ref="P45:P46"/>
    <mergeCell ref="Q45:T45"/>
    <mergeCell ref="B47:B48"/>
    <mergeCell ref="C47:C48"/>
    <mergeCell ref="N47:N48"/>
    <mergeCell ref="P47:P48"/>
    <mergeCell ref="C45:C46"/>
    <mergeCell ref="D45:D46"/>
    <mergeCell ref="E45:E46"/>
    <mergeCell ref="F45:K45"/>
    <mergeCell ref="N45:N46"/>
    <mergeCell ref="O45:O46"/>
  </mergeCells>
  <conditionalFormatting sqref="E10:L13 P10:S17">
    <cfRule type="cellIs" dxfId="1010" priority="50" operator="lessThan">
      <formula>0.1</formula>
    </cfRule>
    <cfRule type="cellIs" dxfId="1009" priority="51" operator="between">
      <formula>0.1</formula>
      <formula>0.999</formula>
    </cfRule>
    <cfRule type="containsBlanks" dxfId="1008" priority="48" stopIfTrue="1">
      <formula>LEN(TRIM(E10))=0</formula>
    </cfRule>
    <cfRule type="cellIs" dxfId="1007" priority="52" operator="between">
      <formula>1</formula>
      <formula>10</formula>
    </cfRule>
    <cfRule type="cellIs" dxfId="1006" priority="43" operator="greaterThanOrEqual">
      <formula>10000</formula>
    </cfRule>
    <cfRule type="cellIs" dxfId="1005" priority="44" operator="greaterThanOrEqual">
      <formula>10</formula>
    </cfRule>
    <cfRule type="cellIs" dxfId="1004" priority="45" operator="between">
      <formula>1</formula>
      <formula>9.999</formula>
    </cfRule>
    <cfRule type="cellIs" dxfId="1003" priority="46" operator="between">
      <formula>0.1</formula>
      <formula>0.999</formula>
    </cfRule>
    <cfRule type="cellIs" dxfId="1002" priority="54" operator="greaterThan">
      <formula>10000</formula>
    </cfRule>
    <cfRule type="cellIs" dxfId="1001" priority="53" operator="greaterThan">
      <formula>10</formula>
    </cfRule>
    <cfRule type="cellIs" dxfId="1000" priority="47" operator="lessThanOrEqual">
      <formula>0.1</formula>
    </cfRule>
    <cfRule type="cellIs" dxfId="999" priority="49" operator="equal">
      <formula>0</formula>
    </cfRule>
  </conditionalFormatting>
  <conditionalFormatting sqref="F41:K42">
    <cfRule type="cellIs" dxfId="998" priority="21" operator="greaterThanOrEqual">
      <formula>$E$41</formula>
    </cfRule>
    <cfRule type="cellIs" dxfId="997" priority="22" operator="lessThan">
      <formula>$E$43</formula>
    </cfRule>
  </conditionalFormatting>
  <conditionalFormatting sqref="F43:K44">
    <cfRule type="cellIs" dxfId="996" priority="19" operator="greaterThanOrEqual">
      <formula>$E$43</formula>
    </cfRule>
    <cfRule type="cellIs" dxfId="995" priority="20" operator="lessThan">
      <formula>$E$43</formula>
    </cfRule>
  </conditionalFormatting>
  <conditionalFormatting sqref="F48:K48">
    <cfRule type="cellIs" dxfId="994" priority="2" operator="between">
      <formula>0.1</formula>
      <formula>0.999</formula>
    </cfRule>
    <cfRule type="containsBlanks" dxfId="993" priority="3" stopIfTrue="1">
      <formula>LEN(TRIM(F48))=0</formula>
    </cfRule>
    <cfRule type="cellIs" dxfId="992" priority="4" operator="greaterThanOrEqual">
      <formula>0.0001</formula>
    </cfRule>
    <cfRule type="cellIs" dxfId="991" priority="1" operator="between">
      <formula>1</formula>
      <formula>9.999</formula>
    </cfRule>
  </conditionalFormatting>
  <conditionalFormatting sqref="F41:L44">
    <cfRule type="containsBlanks" dxfId="990" priority="18" stopIfTrue="1">
      <formula>LEN(TRIM(F41))=0</formula>
    </cfRule>
    <cfRule type="cellIs" dxfId="989" priority="17" operator="lessThanOrEqual">
      <formula>0.1</formula>
    </cfRule>
    <cfRule type="cellIs" dxfId="988" priority="16" operator="between">
      <formula>0.1</formula>
      <formula>0.999</formula>
    </cfRule>
    <cfRule type="cellIs" dxfId="987" priority="15" operator="between">
      <formula>1</formula>
      <formula>9.999</formula>
    </cfRule>
    <cfRule type="cellIs" dxfId="986" priority="14" operator="greaterThanOrEqual">
      <formula>10</formula>
    </cfRule>
    <cfRule type="cellIs" dxfId="985" priority="13" operator="greaterThanOrEqual">
      <formula>10000</formula>
    </cfRule>
  </conditionalFormatting>
  <conditionalFormatting sqref="F47:L47">
    <cfRule type="cellIs" dxfId="984" priority="25" operator="between">
      <formula>1</formula>
      <formula>9.999</formula>
    </cfRule>
    <cfRule type="cellIs" dxfId="983" priority="26" operator="between">
      <formula>0.1</formula>
      <formula>0.999</formula>
    </cfRule>
    <cfRule type="containsBlanks" dxfId="982" priority="28" stopIfTrue="1">
      <formula>LEN(TRIM(F47))=0</formula>
    </cfRule>
    <cfRule type="cellIs" dxfId="981" priority="29" operator="greaterThanOrEqual">
      <formula>0.0001</formula>
    </cfRule>
  </conditionalFormatting>
  <conditionalFormatting sqref="F47:L48">
    <cfRule type="cellIs" dxfId="980" priority="23" operator="greaterThanOrEqual">
      <formula>10000</formula>
    </cfRule>
    <cfRule type="cellIs" dxfId="979" priority="24" operator="greaterThanOrEqual">
      <formula>10</formula>
    </cfRule>
  </conditionalFormatting>
  <conditionalFormatting sqref="F48:L48">
    <cfRule type="cellIs" dxfId="978" priority="27" operator="lessThanOrEqual">
      <formula>0.1</formula>
    </cfRule>
  </conditionalFormatting>
  <conditionalFormatting sqref="G18:L19 G24:L25">
    <cfRule type="cellIs" dxfId="977" priority="72" operator="between">
      <formula>1</formula>
      <formula>9.999</formula>
    </cfRule>
    <cfRule type="cellIs" dxfId="976" priority="71" operator="greaterThanOrEqual">
      <formula>10</formula>
    </cfRule>
    <cfRule type="cellIs" dxfId="975" priority="76" operator="lessThan">
      <formula>$F18</formula>
    </cfRule>
    <cfRule type="cellIs" dxfId="974" priority="70" operator="greaterThanOrEqual">
      <formula>10000</formula>
    </cfRule>
    <cfRule type="cellIs" dxfId="973" priority="73" operator="between">
      <formula>0.1</formula>
      <formula>0.999</formula>
    </cfRule>
    <cfRule type="cellIs" dxfId="972" priority="74" operator="lessThanOrEqual">
      <formula>0.1</formula>
    </cfRule>
    <cfRule type="containsBlanks" dxfId="971" priority="75" stopIfTrue="1">
      <formula>LEN(TRIM(G18))=0</formula>
    </cfRule>
  </conditionalFormatting>
  <conditionalFormatting sqref="G30:L31 R34:R35">
    <cfRule type="cellIs" dxfId="970" priority="69" operator="greaterThan">
      <formula>0.0001</formula>
    </cfRule>
  </conditionalFormatting>
  <conditionalFormatting sqref="G30:L31">
    <cfRule type="cellIs" dxfId="969" priority="64" operator="between">
      <formula>1</formula>
      <formula>9.999</formula>
    </cfRule>
    <cfRule type="cellIs" dxfId="968" priority="65" operator="between">
      <formula>0.1</formula>
      <formula>0.999</formula>
    </cfRule>
    <cfRule type="cellIs" dxfId="967" priority="66" operator="lessThanOrEqual">
      <formula>0.1</formula>
    </cfRule>
    <cfRule type="cellIs" dxfId="966" priority="68" operator="equal">
      <formula>0</formula>
    </cfRule>
    <cfRule type="containsBlanks" dxfId="965" priority="67" stopIfTrue="1">
      <formula>LEN(TRIM(G30))=0</formula>
    </cfRule>
    <cfRule type="cellIs" dxfId="964" priority="62" operator="greaterThanOrEqual">
      <formula>10000</formula>
    </cfRule>
    <cfRule type="cellIs" dxfId="963" priority="63" operator="greaterThanOrEqual">
      <formula>10</formula>
    </cfRule>
  </conditionalFormatting>
  <conditionalFormatting sqref="L41:L42">
    <cfRule type="cellIs" dxfId="962" priority="41" operator="greaterThanOrEqual">
      <formula>$E$45</formula>
    </cfRule>
    <cfRule type="cellIs" dxfId="961" priority="42" operator="lessThan">
      <formula>$E$45</formula>
    </cfRule>
  </conditionalFormatting>
  <conditionalFormatting sqref="L43:L44">
    <cfRule type="cellIs" dxfId="960" priority="40" operator="lessThan">
      <formula>$E$49</formula>
    </cfRule>
    <cfRule type="cellIs" dxfId="959" priority="39" operator="greaterThanOrEqual">
      <formula>$E$49</formula>
    </cfRule>
  </conditionalFormatting>
  <conditionalFormatting sqref="L47">
    <cfRule type="cellIs" dxfId="958" priority="38" operator="between">
      <formula>0.000001</formula>
      <formula>0.00001</formula>
    </cfRule>
    <cfRule type="cellIs" dxfId="957" priority="37" operator="between">
      <formula>0.00001</formula>
      <formula>0.0001</formula>
    </cfRule>
  </conditionalFormatting>
  <conditionalFormatting sqref="Q41:T44">
    <cfRule type="cellIs" dxfId="956" priority="10" operator="lessThanOrEqual">
      <formula>0.1</formula>
    </cfRule>
    <cfRule type="cellIs" dxfId="955" priority="9" operator="greaterThanOrEqual">
      <formula>10</formula>
    </cfRule>
    <cfRule type="cellIs" dxfId="954" priority="8" operator="greaterThanOrEqual">
      <formula>10000</formula>
    </cfRule>
    <cfRule type="containsBlanks" dxfId="953" priority="7" stopIfTrue="1">
      <formula>LEN(TRIM(Q41))=0</formula>
    </cfRule>
    <cfRule type="cellIs" dxfId="952" priority="6" operator="between">
      <formula>0.1</formula>
      <formula>0.999</formula>
    </cfRule>
    <cfRule type="cellIs" dxfId="951" priority="5" operator="between">
      <formula>1</formula>
      <formula>9.999</formula>
    </cfRule>
  </conditionalFormatting>
  <conditionalFormatting sqref="Q42:T42">
    <cfRule type="cellIs" dxfId="950" priority="36" operator="lessThan">
      <formula>$P$41</formula>
    </cfRule>
    <cfRule type="cellIs" dxfId="949" priority="35" operator="greaterThanOrEqual">
      <formula>$P$41</formula>
    </cfRule>
  </conditionalFormatting>
  <conditionalFormatting sqref="Q43:T44">
    <cfRule type="cellIs" dxfId="948" priority="12" operator="lessThan">
      <formula>$P$43</formula>
    </cfRule>
    <cfRule type="cellIs" dxfId="947" priority="11" operator="greaterThanOrEqual">
      <formula>$P$43</formula>
    </cfRule>
  </conditionalFormatting>
  <conditionalFormatting sqref="Q47:T48">
    <cfRule type="containsBlanks" dxfId="946" priority="33" stopIfTrue="1">
      <formula>LEN(TRIM(Q47))=0</formula>
    </cfRule>
    <cfRule type="cellIs" dxfId="945" priority="32" operator="lessThanOrEqual">
      <formula>0.1</formula>
    </cfRule>
    <cfRule type="cellIs" dxfId="944" priority="31" operator="between">
      <formula>1</formula>
      <formula>100</formula>
    </cfRule>
    <cfRule type="cellIs" dxfId="943" priority="34" operator="greaterThanOrEqual">
      <formula>0.0001</formula>
    </cfRule>
    <cfRule type="cellIs" dxfId="942" priority="30" operator="greaterThan">
      <formula>100</formula>
    </cfRule>
  </conditionalFormatting>
  <conditionalFormatting sqref="R22:R23 R28:R29">
    <cfRule type="cellIs" dxfId="941" priority="55" operator="greaterThanOrEqual">
      <formula>10000</formula>
    </cfRule>
    <cfRule type="cellIs" dxfId="940" priority="56" operator="greaterThanOrEqual">
      <formula>10</formula>
    </cfRule>
    <cfRule type="cellIs" dxfId="939" priority="57" operator="between">
      <formula>1</formula>
      <formula>9.999</formula>
    </cfRule>
    <cfRule type="cellIs" dxfId="938" priority="59" operator="lessThanOrEqual">
      <formula>0.1</formula>
    </cfRule>
    <cfRule type="containsBlanks" dxfId="937" priority="60" stopIfTrue="1">
      <formula>LEN(TRIM(R22))=0</formula>
    </cfRule>
    <cfRule type="cellIs" dxfId="936" priority="61" operator="lessThan">
      <formula>$Q22</formula>
    </cfRule>
    <cfRule type="cellIs" dxfId="935" priority="58" operator="between">
      <formula>0.1</formula>
      <formula>0.999</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43E1-9925-4FD8-BD14-5A192F1853E3}">
  <dimension ref="B1:U63"/>
  <sheetViews>
    <sheetView zoomScale="85" zoomScaleNormal="85" workbookViewId="0">
      <selection activeCell="T21" sqref="T21"/>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12" width="15.85546875" style="66" customWidth="1"/>
    <col min="13" max="13" width="12.85546875" style="66" customWidth="1"/>
    <col min="14" max="14" width="21.28515625" style="66" customWidth="1"/>
    <col min="15" max="15" width="28.42578125" style="66" customWidth="1"/>
    <col min="16" max="19" width="14.85546875" style="66" customWidth="1"/>
    <col min="20" max="21" width="13.5703125" style="66" customWidth="1"/>
    <col min="22" max="16384" width="8.7109375" style="66"/>
  </cols>
  <sheetData>
    <row r="1" spans="2:21" ht="21" x14ac:dyDescent="0.35">
      <c r="C1" s="83"/>
    </row>
    <row r="2" spans="2:21" ht="21" x14ac:dyDescent="0.35">
      <c r="C2" s="83" t="s">
        <v>2</v>
      </c>
      <c r="M2" s="68"/>
      <c r="T2" s="67"/>
    </row>
    <row r="3" spans="2:21" ht="15.75" x14ac:dyDescent="0.25">
      <c r="C3" s="67"/>
      <c r="M3" s="68"/>
      <c r="T3" s="67"/>
    </row>
    <row r="4" spans="2:21" ht="21" x14ac:dyDescent="0.35">
      <c r="C4" s="84" t="s">
        <v>83</v>
      </c>
      <c r="D4" s="85"/>
      <c r="E4" s="85"/>
      <c r="F4" s="85"/>
      <c r="G4" s="85"/>
      <c r="H4" s="85"/>
      <c r="I4" s="85"/>
      <c r="J4" s="85"/>
      <c r="K4" s="85"/>
      <c r="L4" s="85"/>
      <c r="N4" s="84" t="s">
        <v>29</v>
      </c>
      <c r="T4" s="67"/>
    </row>
    <row r="5" spans="2:21" ht="21" x14ac:dyDescent="0.35">
      <c r="C5" s="85"/>
      <c r="D5" s="85"/>
      <c r="E5" s="85"/>
      <c r="F5" s="85"/>
      <c r="G5" s="85"/>
      <c r="H5" s="85"/>
      <c r="I5" s="85"/>
      <c r="J5" s="85"/>
      <c r="K5" s="85"/>
      <c r="L5" s="85"/>
      <c r="N5" s="83"/>
      <c r="T5" s="67"/>
    </row>
    <row r="6" spans="2:21" ht="21" x14ac:dyDescent="0.35">
      <c r="C6" s="83" t="s">
        <v>84</v>
      </c>
      <c r="D6" s="85"/>
      <c r="E6" s="85"/>
      <c r="F6" s="85"/>
      <c r="G6" s="85"/>
      <c r="H6" s="85"/>
      <c r="I6" s="85"/>
      <c r="J6" s="85"/>
      <c r="K6" s="85"/>
      <c r="L6" s="85"/>
      <c r="N6" s="83" t="s">
        <v>84</v>
      </c>
      <c r="T6" s="67"/>
    </row>
    <row r="7" spans="2:21" ht="15.75" x14ac:dyDescent="0.25">
      <c r="C7" s="67"/>
      <c r="M7" s="68"/>
      <c r="T7" s="67"/>
    </row>
    <row r="8" spans="2:21" ht="78" customHeight="1" x14ac:dyDescent="0.25">
      <c r="C8" s="592" t="s">
        <v>85</v>
      </c>
      <c r="D8" s="593" t="s">
        <v>23</v>
      </c>
      <c r="E8" s="411" t="s">
        <v>86</v>
      </c>
      <c r="F8" s="411" t="s">
        <v>87</v>
      </c>
      <c r="G8" s="411" t="s">
        <v>89</v>
      </c>
      <c r="H8" s="411" t="s">
        <v>90</v>
      </c>
      <c r="I8" s="291"/>
      <c r="J8" s="291"/>
      <c r="K8" s="291"/>
      <c r="L8" s="291"/>
      <c r="M8" s="1"/>
      <c r="N8" s="592" t="s">
        <v>85</v>
      </c>
      <c r="O8" s="592" t="s">
        <v>23</v>
      </c>
      <c r="P8" s="411" t="s">
        <v>91</v>
      </c>
      <c r="Q8" s="411" t="s">
        <v>92</v>
      </c>
      <c r="R8" s="411" t="s">
        <v>94</v>
      </c>
      <c r="S8" s="411" t="s">
        <v>95</v>
      </c>
      <c r="U8" s="67"/>
    </row>
    <row r="9" spans="2:21" ht="27" x14ac:dyDescent="0.25">
      <c r="C9" s="592"/>
      <c r="D9" s="593"/>
      <c r="E9" s="411" t="s">
        <v>158</v>
      </c>
      <c r="F9" s="411" t="s">
        <v>159</v>
      </c>
      <c r="G9" s="411" t="s">
        <v>160</v>
      </c>
      <c r="H9" s="411" t="s">
        <v>161</v>
      </c>
      <c r="I9" s="291"/>
      <c r="J9" s="291"/>
      <c r="K9" s="291"/>
      <c r="L9" s="291"/>
      <c r="M9" s="1"/>
      <c r="N9" s="592"/>
      <c r="O9" s="592"/>
      <c r="P9" s="411" t="s">
        <v>100</v>
      </c>
      <c r="Q9" s="411" t="s">
        <v>162</v>
      </c>
      <c r="R9" s="411" t="s">
        <v>163</v>
      </c>
      <c r="S9" s="411" t="s">
        <v>507</v>
      </c>
      <c r="U9" s="67"/>
    </row>
    <row r="10" spans="2:21" ht="15.6" customHeight="1" x14ac:dyDescent="0.25">
      <c r="C10" s="88" t="s">
        <v>30</v>
      </c>
      <c r="D10" s="594" t="s">
        <v>103</v>
      </c>
      <c r="E10" s="316">
        <f>'Inhalation Exposures'!I70</f>
        <v>2.3172553116417669E-3</v>
      </c>
      <c r="F10" s="316">
        <f>'Inhalation Exposures'!K70</f>
        <v>1.5763641575794332E-3</v>
      </c>
      <c r="G10" s="316">
        <f>'Inhalation Exposures'!O70</f>
        <v>1.0797014777941324E-3</v>
      </c>
      <c r="H10" s="316">
        <f>'Inhalation Exposures'!Q70</f>
        <v>2.7130960211237169E-4</v>
      </c>
      <c r="I10" s="329"/>
      <c r="J10" s="329"/>
      <c r="K10" s="329"/>
      <c r="L10" s="329"/>
      <c r="M10" s="1"/>
      <c r="N10" s="595" t="s">
        <v>104</v>
      </c>
      <c r="O10" s="72" t="s">
        <v>103</v>
      </c>
      <c r="P10" s="316">
        <f>IFERROR(INDEX('Dermal Exposures'!$J$33:$J$34, MATCH(TCE_operator!$C$2, 'Dermal Exposures'!$A$33:$A$34, 0)), "")</f>
        <v>0.24</v>
      </c>
      <c r="Q10" s="316">
        <f>IFERROR(INDEX('Dermal Exposures'!$K$33:$K$34, MATCH(TCE_operator!$C$2, 'Dermal Exposures'!$A$33:$A$34, 0)), "")</f>
        <v>3.0999999999999999E-3</v>
      </c>
      <c r="R10" s="316">
        <f>IFERROR(INDEX('Dermal Exposures'!$M$33:$M$34, MATCH(TCE_operator!$C$2, 'Dermal Exposures'!$A$33:$A$34, 0)), "")</f>
        <v>2.0999999999999999E-3</v>
      </c>
      <c r="S10" s="316">
        <f>IFERROR(INDEX('Dermal Exposures'!$N$33:$N$34, MATCH(TCE_operator!$C$2, 'Dermal Exposures'!$A$33:$A$34, 0)), "")</f>
        <v>8.5999999999999998E-4</v>
      </c>
      <c r="U10" s="67"/>
    </row>
    <row r="11" spans="2:21" ht="15.75" x14ac:dyDescent="0.25">
      <c r="C11" s="88" t="s">
        <v>28</v>
      </c>
      <c r="D11" s="594"/>
      <c r="E11" s="316">
        <f>'Inhalation Exposures'!I80</f>
        <v>1.6219005447518585E-3</v>
      </c>
      <c r="F11" s="316">
        <f>'Inhalation Exposures'!K80</f>
        <v>1.103333703912829E-3</v>
      </c>
      <c r="G11" s="316">
        <f>'Inhalation Exposures'!O80</f>
        <v>7.5570801637865007E-4</v>
      </c>
      <c r="H11" s="316">
        <f>'Inhalation Exposures'!Q80</f>
        <v>1.8989586052591719E-4</v>
      </c>
      <c r="I11" s="329"/>
      <c r="J11" s="329"/>
      <c r="K11" s="329"/>
      <c r="L11" s="329"/>
      <c r="M11" s="1"/>
      <c r="N11" s="595"/>
      <c r="O11" s="72" t="s">
        <v>27</v>
      </c>
      <c r="P11" s="316">
        <f>IFERROR(INDEX('Dermal Exposures'!$O$33:$O$34, MATCH(TCE_operator!$C$2, 'Dermal Exposures'!$A$33:$A$34, 0)), "")</f>
        <v>0.09</v>
      </c>
      <c r="Q11" s="316">
        <f>IFERROR(INDEX('Dermal Exposures'!$P$33:$P$34, MATCH(TCE_operator!$C$2, 'Dermal Exposures'!$A$33:$A$34, 0)), "")</f>
        <v>1.1999999999999999E-3</v>
      </c>
      <c r="R11" s="316">
        <f>IFERROR(INDEX('Dermal Exposures'!$R$33:$R$34, MATCH(TCE_operator!$C$2, 'Dermal Exposures'!$A$33:$A$34, 0)), "")</f>
        <v>7.9000000000000001E-4</v>
      </c>
      <c r="S11" s="316">
        <f>IFERROR(INDEX('Dermal Exposures'!$S$33:$S$34, MATCH(TCE_operator!$C$2, 'Dermal Exposures'!$A$33:$A$34, 0)), "")</f>
        <v>2.9E-4</v>
      </c>
      <c r="U11" s="67"/>
    </row>
    <row r="12" spans="2:21" ht="15.6" customHeight="1" x14ac:dyDescent="0.25">
      <c r="C12" s="88" t="s">
        <v>30</v>
      </c>
      <c r="D12" s="591" t="s">
        <v>27</v>
      </c>
      <c r="E12" s="316">
        <f>'Inhalation Exposures'!J70</f>
        <v>5.1909831094316386E-4</v>
      </c>
      <c r="F12" s="316">
        <f>'Inhalation Exposures'!L70</f>
        <v>3.5312810268242438E-4</v>
      </c>
      <c r="G12" s="316">
        <f>'Inhalation Exposures'!P70</f>
        <v>2.4186856348111258E-4</v>
      </c>
      <c r="H12" s="316">
        <f>'Inhalation Exposures'!R70</f>
        <v>4.7102352298437179E-5</v>
      </c>
      <c r="I12" s="329"/>
      <c r="J12" s="329"/>
      <c r="K12" s="329"/>
      <c r="L12" s="329"/>
      <c r="M12" s="1"/>
      <c r="N12" s="565" t="str">
        <f>_xlfn.CONCAT("Worker with Gloves; 
PF of ",'List Values'!$B$16)</f>
        <v>Worker with Gloves; 
PF of 5</v>
      </c>
      <c r="O12" s="71" t="s">
        <v>103</v>
      </c>
      <c r="P12" s="316">
        <f>P10/'List Values'!$B$16</f>
        <v>4.8000000000000001E-2</v>
      </c>
      <c r="Q12" s="316">
        <f>Q10/'List Values'!$B$16</f>
        <v>6.2E-4</v>
      </c>
      <c r="R12" s="316">
        <f>R10/'List Values'!$B$16</f>
        <v>4.1999999999999996E-4</v>
      </c>
      <c r="S12" s="316">
        <f>S10/'List Values'!$B$16</f>
        <v>1.7200000000000001E-4</v>
      </c>
    </row>
    <row r="13" spans="2:21" ht="15" x14ac:dyDescent="0.25">
      <c r="C13" s="88" t="s">
        <v>28</v>
      </c>
      <c r="D13" s="591"/>
      <c r="E13" s="316">
        <f>'Inhalation Exposures'!J80</f>
        <v>3.5709853644700637E-4</v>
      </c>
      <c r="F13" s="316">
        <f>'Inhalation Exposures'!L80</f>
        <v>2.4292417445374582E-4</v>
      </c>
      <c r="G13" s="316">
        <f>'Inhalation Exposures'!P80</f>
        <v>1.6638642085873E-4</v>
      </c>
      <c r="H13" s="316">
        <f>'Inhalation Exposures'!R80</f>
        <v>3.2402688882616782E-5</v>
      </c>
      <c r="I13" s="329"/>
      <c r="J13" s="329"/>
      <c r="K13" s="329"/>
      <c r="L13" s="329"/>
      <c r="M13" s="1"/>
      <c r="N13" s="565"/>
      <c r="O13" s="71" t="s">
        <v>27</v>
      </c>
      <c r="P13" s="316">
        <f>P11/'List Values'!$B$16</f>
        <v>1.7999999999999999E-2</v>
      </c>
      <c r="Q13" s="316">
        <f>Q11/'List Values'!$B$16</f>
        <v>2.3999999999999998E-4</v>
      </c>
      <c r="R13" s="316">
        <f>R11/'List Values'!$B$16</f>
        <v>1.5799999999999999E-4</v>
      </c>
      <c r="S13" s="316">
        <f>S11/'List Values'!$B$16</f>
        <v>5.8E-5</v>
      </c>
    </row>
    <row r="14" spans="2:21" x14ac:dyDescent="0.2">
      <c r="N14" s="565" t="str">
        <f>_xlfn.CONCAT("Worker with Gloves; 
PF of ",'List Values'!$B$17)</f>
        <v>Worker with Gloves; 
PF of 10</v>
      </c>
      <c r="O14" s="71" t="s">
        <v>103</v>
      </c>
      <c r="P14" s="316">
        <f>P10/'List Values'!$B$17</f>
        <v>2.4E-2</v>
      </c>
      <c r="Q14" s="316">
        <f>Q10/'List Values'!$B$17</f>
        <v>3.1E-4</v>
      </c>
      <c r="R14" s="316">
        <f>R10/'List Values'!$B$17</f>
        <v>2.0999999999999998E-4</v>
      </c>
      <c r="S14" s="316">
        <f>S10/'List Values'!$B$17</f>
        <v>8.6000000000000003E-5</v>
      </c>
    </row>
    <row r="15" spans="2:21" ht="21" x14ac:dyDescent="0.35">
      <c r="C15" s="83" t="s">
        <v>105</v>
      </c>
      <c r="N15" s="565"/>
      <c r="O15" s="71" t="s">
        <v>27</v>
      </c>
      <c r="P15" s="316">
        <f>P11/'List Values'!$B$17</f>
        <v>8.9999999999999993E-3</v>
      </c>
      <c r="Q15" s="316">
        <f>Q11/'List Values'!$B$17</f>
        <v>1.1999999999999999E-4</v>
      </c>
      <c r="R15" s="316">
        <f>R11/'List Values'!$B$17</f>
        <v>7.8999999999999996E-5</v>
      </c>
      <c r="S15" s="316">
        <f>S11/'List Values'!$B$17</f>
        <v>2.9E-5</v>
      </c>
    </row>
    <row r="16" spans="2:21" ht="28.5" customHeight="1" x14ac:dyDescent="0.2">
      <c r="B16" s="70"/>
      <c r="C16" s="568" t="s">
        <v>106</v>
      </c>
      <c r="D16" s="568" t="s">
        <v>107</v>
      </c>
      <c r="E16" s="568" t="s">
        <v>23</v>
      </c>
      <c r="F16" s="568" t="s">
        <v>108</v>
      </c>
      <c r="G16" s="568" t="s">
        <v>109</v>
      </c>
      <c r="H16" s="568"/>
      <c r="I16" s="90"/>
      <c r="J16" s="90"/>
      <c r="K16" s="90"/>
      <c r="L16" s="90"/>
      <c r="M16" s="90"/>
      <c r="N16" s="565" t="str">
        <f>_xlfn.CONCAT("Worker with Gloves; 
PF of ",'List Values'!$B$18)</f>
        <v>Worker with Gloves; 
PF of 20</v>
      </c>
      <c r="O16" s="71" t="s">
        <v>103</v>
      </c>
      <c r="P16" s="316">
        <f>P10/'List Values'!$B$18</f>
        <v>1.2E-2</v>
      </c>
      <c r="Q16" s="316">
        <f>Q10/'List Values'!$B$18</f>
        <v>1.55E-4</v>
      </c>
      <c r="R16" s="316">
        <f>R10/'List Values'!$B$18</f>
        <v>1.0499999999999999E-4</v>
      </c>
      <c r="S16" s="316">
        <f>S10/'List Values'!$B$18</f>
        <v>4.3000000000000002E-5</v>
      </c>
    </row>
    <row r="17" spans="2:20" ht="26.1" customHeight="1" x14ac:dyDescent="0.2">
      <c r="B17" s="70"/>
      <c r="C17" s="568"/>
      <c r="D17" s="568"/>
      <c r="E17" s="568"/>
      <c r="F17" s="568"/>
      <c r="G17" s="413" t="s">
        <v>110</v>
      </c>
      <c r="H17" s="413" t="s">
        <v>111</v>
      </c>
      <c r="I17" s="90"/>
      <c r="J17" s="90"/>
      <c r="K17" s="90"/>
      <c r="L17" s="90"/>
      <c r="M17" s="90"/>
      <c r="N17" s="565"/>
      <c r="O17" s="71" t="s">
        <v>27</v>
      </c>
      <c r="P17" s="316">
        <f>P11/'List Values'!$B$18</f>
        <v>4.4999999999999997E-3</v>
      </c>
      <c r="Q17" s="316">
        <f>Q11/'List Values'!$B$18</f>
        <v>5.9999999999999995E-5</v>
      </c>
      <c r="R17" s="316">
        <f>R11/'List Values'!$B$18</f>
        <v>3.9499999999999998E-5</v>
      </c>
      <c r="S17" s="316">
        <f>S11/'List Values'!$B$18</f>
        <v>1.45E-5</v>
      </c>
    </row>
    <row r="18" spans="2:20" ht="27.6" customHeight="1" x14ac:dyDescent="0.2">
      <c r="B18" s="70"/>
      <c r="C18" s="606" t="s">
        <v>164</v>
      </c>
      <c r="D18" s="580">
        <f>INDEX('Health Data'!$G:$G,MATCH($C$2,'Health Data'!$B:$B,0))</f>
        <v>0.96757990867579902</v>
      </c>
      <c r="E18" s="71" t="s">
        <v>103</v>
      </c>
      <c r="F18" s="412">
        <v>10</v>
      </c>
      <c r="G18" s="101">
        <f>D18/$F$10</f>
        <v>613.8048140865842</v>
      </c>
      <c r="H18" s="102">
        <f>D18/$F$11</f>
        <v>876.9603477573495</v>
      </c>
      <c r="I18" s="330"/>
      <c r="J18" s="330"/>
      <c r="K18" s="330"/>
      <c r="L18" s="330"/>
      <c r="M18" s="77"/>
    </row>
    <row r="19" spans="2:20" ht="25.5" customHeight="1" x14ac:dyDescent="0.35">
      <c r="B19" s="70"/>
      <c r="C19" s="577"/>
      <c r="D19" s="555"/>
      <c r="E19" s="71" t="s">
        <v>27</v>
      </c>
      <c r="F19" s="412">
        <v>10</v>
      </c>
      <c r="G19" s="101">
        <f>D18/$F$12</f>
        <v>2740.0252240642662</v>
      </c>
      <c r="H19" s="102">
        <f>D18/$F$13</f>
        <v>3983.0531928391174</v>
      </c>
      <c r="I19" s="330"/>
      <c r="J19" s="330"/>
      <c r="K19" s="330"/>
      <c r="L19" s="330"/>
      <c r="M19" s="77"/>
      <c r="N19" s="83" t="s">
        <v>113</v>
      </c>
    </row>
    <row r="20" spans="2:20"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20" s="85" customFormat="1" ht="27.75" x14ac:dyDescent="0.35">
      <c r="B21" s="83"/>
      <c r="C21" s="83" t="s">
        <v>122</v>
      </c>
      <c r="F21" s="86"/>
      <c r="N21" s="571"/>
      <c r="O21" s="571"/>
      <c r="P21" s="571"/>
      <c r="Q21" s="571"/>
      <c r="R21" s="422" t="s">
        <v>116</v>
      </c>
      <c r="S21" s="66"/>
      <c r="T21" s="66"/>
    </row>
    <row r="22" spans="2:20" ht="29.25" customHeight="1" x14ac:dyDescent="0.2">
      <c r="B22" s="79"/>
      <c r="C22" s="568" t="s">
        <v>106</v>
      </c>
      <c r="D22" s="568" t="s">
        <v>107</v>
      </c>
      <c r="E22" s="568" t="s">
        <v>23</v>
      </c>
      <c r="F22" s="568" t="s">
        <v>108</v>
      </c>
      <c r="G22" s="568" t="s">
        <v>123</v>
      </c>
      <c r="H22" s="568"/>
      <c r="I22" s="90"/>
      <c r="J22" s="90"/>
      <c r="K22" s="90"/>
      <c r="L22" s="90"/>
      <c r="M22" s="90"/>
      <c r="N22" s="606" t="s">
        <v>164</v>
      </c>
      <c r="O22" s="589">
        <f>INDEX('Health Data'!$K:$K,MATCH($C$2,'Health Data'!$B:$B,0))</f>
        <v>1.34</v>
      </c>
      <c r="P22" s="72" t="s">
        <v>103</v>
      </c>
      <c r="Q22" s="412">
        <v>10</v>
      </c>
      <c r="R22" s="101">
        <f>IFERROR(O22/Q10, "")</f>
        <v>432.25806451612908</v>
      </c>
    </row>
    <row r="23" spans="2:20" ht="32.25" customHeight="1" x14ac:dyDescent="0.2">
      <c r="B23" s="79"/>
      <c r="C23" s="582"/>
      <c r="D23" s="568"/>
      <c r="E23" s="568"/>
      <c r="F23" s="568"/>
      <c r="G23" s="413" t="s">
        <v>110</v>
      </c>
      <c r="H23" s="413" t="s">
        <v>111</v>
      </c>
      <c r="I23" s="90"/>
      <c r="J23" s="90"/>
      <c r="K23" s="90"/>
      <c r="L23" s="90"/>
      <c r="M23" s="90"/>
      <c r="N23" s="577"/>
      <c r="O23" s="590"/>
      <c r="P23" s="72" t="s">
        <v>27</v>
      </c>
      <c r="Q23" s="412">
        <v>10</v>
      </c>
      <c r="R23" s="101">
        <f>IFERROR(O22/Q11, "")</f>
        <v>1116.6666666666667</v>
      </c>
    </row>
    <row r="24" spans="2:20" ht="33" customHeight="1" x14ac:dyDescent="0.2">
      <c r="B24" s="79"/>
      <c r="C24" s="605" t="s">
        <v>165</v>
      </c>
      <c r="D24" s="580">
        <f>INDEX('Health Data'!$P:$P,MATCH($C$2,'Health Data'!$B:$B,0))</f>
        <v>3.2934931506849306E-2</v>
      </c>
      <c r="E24" s="72" t="s">
        <v>103</v>
      </c>
      <c r="F24" s="412">
        <v>30</v>
      </c>
      <c r="G24" s="419">
        <f>D24/$G$10</f>
        <v>30.503738472356744</v>
      </c>
      <c r="H24" s="419">
        <f>D24/$G$11</f>
        <v>43.581556359125805</v>
      </c>
      <c r="I24" s="96"/>
      <c r="J24" s="96"/>
      <c r="K24" s="96"/>
      <c r="L24" s="96"/>
      <c r="M24" s="77"/>
      <c r="N24" s="74"/>
      <c r="O24" s="75"/>
      <c r="P24" s="81"/>
      <c r="R24" s="77"/>
    </row>
    <row r="25" spans="2:20" ht="33" customHeight="1" x14ac:dyDescent="0.35">
      <c r="B25" s="79"/>
      <c r="C25" s="577"/>
      <c r="D25" s="555"/>
      <c r="E25" s="72" t="s">
        <v>27</v>
      </c>
      <c r="F25" s="412">
        <v>30</v>
      </c>
      <c r="G25" s="419">
        <f>D24/$G$12</f>
        <v>136.16871507743991</v>
      </c>
      <c r="H25" s="419">
        <f>D24/$G$13</f>
        <v>197.94242424874702</v>
      </c>
      <c r="I25" s="96"/>
      <c r="J25" s="96"/>
      <c r="K25" s="96"/>
      <c r="L25" s="96"/>
      <c r="M25" s="77"/>
      <c r="N25" s="83" t="s">
        <v>125</v>
      </c>
      <c r="O25" s="85"/>
      <c r="P25" s="85"/>
      <c r="Q25" s="85"/>
      <c r="R25" s="85"/>
      <c r="S25" s="85"/>
      <c r="T25" s="85"/>
    </row>
    <row r="26" spans="2:20" ht="25.5" x14ac:dyDescent="0.2">
      <c r="B26" s="79"/>
      <c r="C26" s="80"/>
      <c r="D26" s="75"/>
      <c r="E26" s="81"/>
      <c r="F26" s="75"/>
      <c r="G26" s="77"/>
      <c r="H26" s="77"/>
      <c r="I26" s="77"/>
      <c r="J26" s="77"/>
      <c r="K26" s="77"/>
      <c r="L26" s="77"/>
      <c r="M26" s="77"/>
      <c r="N26" s="566" t="s">
        <v>106</v>
      </c>
      <c r="O26" s="566" t="s">
        <v>121</v>
      </c>
      <c r="P26" s="566" t="s">
        <v>23</v>
      </c>
      <c r="Q26" s="566" t="s">
        <v>108</v>
      </c>
      <c r="R26" s="411" t="s">
        <v>123</v>
      </c>
    </row>
    <row r="27" spans="2:20" ht="33" customHeight="1" x14ac:dyDescent="0.35">
      <c r="B27" s="79"/>
      <c r="C27" s="83" t="s">
        <v>126</v>
      </c>
      <c r="D27" s="85"/>
      <c r="E27" s="85"/>
      <c r="F27" s="85"/>
      <c r="G27" s="85"/>
      <c r="H27" s="85"/>
      <c r="I27" s="85"/>
      <c r="J27" s="85"/>
      <c r="K27" s="85"/>
      <c r="L27" s="85"/>
      <c r="M27" s="77"/>
      <c r="N27" s="581"/>
      <c r="O27" s="567"/>
      <c r="P27" s="567"/>
      <c r="Q27" s="567"/>
      <c r="R27" s="411" t="s">
        <v>116</v>
      </c>
    </row>
    <row r="28" spans="2:20" ht="33" customHeight="1" x14ac:dyDescent="0.2">
      <c r="B28" s="79"/>
      <c r="C28" s="582" t="s">
        <v>127</v>
      </c>
      <c r="D28" s="566" t="s">
        <v>128</v>
      </c>
      <c r="E28" s="566" t="s">
        <v>23</v>
      </c>
      <c r="F28" s="583" t="s">
        <v>129</v>
      </c>
      <c r="G28" s="568" t="s">
        <v>130</v>
      </c>
      <c r="H28" s="568"/>
      <c r="I28" s="90"/>
      <c r="J28" s="90"/>
      <c r="K28" s="90"/>
      <c r="L28" s="90"/>
      <c r="M28" s="77"/>
      <c r="N28" s="577" t="s">
        <v>166</v>
      </c>
      <c r="O28" s="580">
        <f>INDEX('Health Data'!$T:$T,MATCH($C$2,'Health Data'!$B:$B,0))</f>
        <v>4.8000000000000001E-2</v>
      </c>
      <c r="P28" s="72" t="s">
        <v>103</v>
      </c>
      <c r="Q28" s="412">
        <v>30</v>
      </c>
      <c r="R28" s="107">
        <f>IFERROR(O28/$R$10, "")</f>
        <v>22.857142857142858</v>
      </c>
    </row>
    <row r="29" spans="2:20" ht="33" customHeight="1" x14ac:dyDescent="0.2">
      <c r="B29" s="79"/>
      <c r="C29" s="530"/>
      <c r="D29" s="567"/>
      <c r="E29" s="567"/>
      <c r="F29" s="584"/>
      <c r="G29" s="413" t="s">
        <v>131</v>
      </c>
      <c r="H29" s="413" t="s">
        <v>28</v>
      </c>
      <c r="I29" s="90"/>
      <c r="J29" s="90"/>
      <c r="K29" s="90"/>
      <c r="L29" s="90"/>
      <c r="M29" s="77"/>
      <c r="N29" s="577"/>
      <c r="O29" s="555"/>
      <c r="P29" s="72" t="s">
        <v>27</v>
      </c>
      <c r="Q29" s="412">
        <v>30</v>
      </c>
      <c r="R29" s="107">
        <f>IFERROR(O28/$R$11, "")</f>
        <v>60.759493670886073</v>
      </c>
    </row>
    <row r="30" spans="2:20" ht="33" customHeight="1" x14ac:dyDescent="0.2">
      <c r="B30" s="79"/>
      <c r="C30" s="604" t="s">
        <v>167</v>
      </c>
      <c r="D30" s="574">
        <f>INDEX('Health Data'!$Y:$Y,MATCH($C$2,'Health Data'!$B:$B,0))</f>
        <v>2.1999999999999999E-2</v>
      </c>
      <c r="E30" s="71" t="s">
        <v>103</v>
      </c>
      <c r="F30" s="107">
        <v>1E-4</v>
      </c>
      <c r="G30" s="103">
        <f>H10*D30</f>
        <v>5.9688112464721767E-6</v>
      </c>
      <c r="H30" s="403">
        <f>H11*D30</f>
        <v>4.1777089315701778E-6</v>
      </c>
      <c r="I30" s="331"/>
      <c r="J30" s="331"/>
      <c r="K30" s="331"/>
      <c r="L30" s="331"/>
      <c r="M30" s="77"/>
    </row>
    <row r="31" spans="2:20" ht="33" customHeight="1" x14ac:dyDescent="0.35">
      <c r="B31" s="79"/>
      <c r="C31" s="604"/>
      <c r="D31" s="575"/>
      <c r="E31" s="71" t="s">
        <v>27</v>
      </c>
      <c r="F31" s="107">
        <v>1E-4</v>
      </c>
      <c r="G31" s="105">
        <f>H12*D30</f>
        <v>1.0362517505656179E-6</v>
      </c>
      <c r="H31" s="403">
        <f>H13*D30</f>
        <v>7.1285915541756919E-7</v>
      </c>
      <c r="I31" s="331"/>
      <c r="J31" s="331"/>
      <c r="K31" s="331"/>
      <c r="L31" s="331"/>
      <c r="M31" s="77"/>
      <c r="N31" s="83" t="s">
        <v>126</v>
      </c>
      <c r="O31" s="85"/>
      <c r="P31" s="85"/>
      <c r="Q31" s="85"/>
      <c r="R31" s="85"/>
    </row>
    <row r="32" spans="2:20" ht="33" customHeight="1" x14ac:dyDescent="0.2">
      <c r="B32" s="79"/>
      <c r="I32" s="77"/>
      <c r="J32" s="77"/>
      <c r="K32" s="77"/>
      <c r="L32" s="77"/>
      <c r="M32" s="77"/>
      <c r="N32" s="566" t="s">
        <v>127</v>
      </c>
      <c r="O32" s="566" t="s">
        <v>133</v>
      </c>
      <c r="P32" s="566" t="s">
        <v>23</v>
      </c>
      <c r="Q32" s="566" t="s">
        <v>129</v>
      </c>
      <c r="R32" s="411" t="s">
        <v>130</v>
      </c>
    </row>
    <row r="33" spans="2:20" ht="33" customHeight="1" x14ac:dyDescent="0.35">
      <c r="B33" s="79"/>
      <c r="C33" s="83" t="s">
        <v>134</v>
      </c>
      <c r="I33" s="77"/>
      <c r="J33" s="77"/>
      <c r="K33" s="77"/>
      <c r="L33" s="77"/>
      <c r="M33" s="77"/>
      <c r="N33" s="567"/>
      <c r="O33" s="567"/>
      <c r="P33" s="567"/>
      <c r="Q33" s="567"/>
      <c r="R33" s="411" t="s">
        <v>135</v>
      </c>
    </row>
    <row r="34" spans="2:20" ht="33" customHeight="1" thickBot="1" x14ac:dyDescent="0.4">
      <c r="B34" s="79"/>
      <c r="C34" s="83"/>
      <c r="I34" s="77"/>
      <c r="J34" s="77"/>
      <c r="K34" s="77"/>
      <c r="L34" s="77"/>
      <c r="M34" s="77"/>
      <c r="N34" s="604" t="s">
        <v>167</v>
      </c>
      <c r="O34" s="574">
        <f>INDEX('Health Data'!$AB:$AB,MATCH($C$2,'Health Data'!$B:$B,0))</f>
        <v>4.6399999999999997E-2</v>
      </c>
      <c r="P34" s="71" t="s">
        <v>103</v>
      </c>
      <c r="Q34" s="561">
        <v>1E-4</v>
      </c>
      <c r="R34" s="107">
        <f>IFERROR(S10*O34, "")</f>
        <v>3.9903999999999996E-5</v>
      </c>
    </row>
    <row r="35" spans="2:20" ht="33" customHeight="1" x14ac:dyDescent="0.25">
      <c r="B35" s="79"/>
      <c r="C35" s="325" t="s">
        <v>136</v>
      </c>
      <c r="I35" s="77"/>
      <c r="J35" s="77"/>
      <c r="K35" s="77"/>
      <c r="L35" s="77"/>
      <c r="M35" s="77"/>
      <c r="N35" s="604"/>
      <c r="O35" s="575"/>
      <c r="P35" s="71" t="s">
        <v>27</v>
      </c>
      <c r="Q35" s="596"/>
      <c r="R35" s="107">
        <f>IFERROR(S11*O34, "")</f>
        <v>1.3456E-5</v>
      </c>
    </row>
    <row r="36" spans="2:20" ht="33" customHeight="1" thickBot="1" x14ac:dyDescent="0.3">
      <c r="B36" s="79"/>
      <c r="C36" s="326" t="s">
        <v>28</v>
      </c>
      <c r="I36" s="77"/>
      <c r="J36" s="77"/>
      <c r="K36" s="77"/>
      <c r="L36" s="77"/>
      <c r="M36" s="77"/>
    </row>
    <row r="37" spans="2:20" ht="33" customHeight="1" x14ac:dyDescent="0.35">
      <c r="B37" s="79"/>
      <c r="C37" s="317"/>
      <c r="I37" s="77"/>
      <c r="J37" s="77"/>
      <c r="K37" s="77"/>
      <c r="L37" s="77"/>
      <c r="M37" s="77"/>
      <c r="N37" s="83" t="s">
        <v>137</v>
      </c>
    </row>
    <row r="38" spans="2:20" ht="33" customHeight="1" thickBot="1" x14ac:dyDescent="0.25">
      <c r="B38" s="79"/>
      <c r="I38" s="77"/>
      <c r="J38" s="77"/>
      <c r="K38" s="77"/>
      <c r="L38" s="77"/>
      <c r="M38" s="77"/>
    </row>
    <row r="39" spans="2:20" ht="33" customHeight="1" x14ac:dyDescent="0.2">
      <c r="B39" s="548" t="s">
        <v>138</v>
      </c>
      <c r="C39" s="540" t="s">
        <v>107</v>
      </c>
      <c r="D39" s="540" t="s">
        <v>23</v>
      </c>
      <c r="E39" s="540" t="s">
        <v>108</v>
      </c>
      <c r="F39" s="540" t="str">
        <f>_xlfn.CONCAT("Exposure Estimates: ",$C$42," MOE")</f>
        <v>Exposure Estimates:  MOE</v>
      </c>
      <c r="G39" s="540"/>
      <c r="H39" s="540"/>
      <c r="I39" s="540"/>
      <c r="J39" s="540"/>
      <c r="K39" s="542"/>
      <c r="L39" s="90"/>
      <c r="M39" s="77"/>
      <c r="N39" s="532" t="s">
        <v>121</v>
      </c>
      <c r="O39" s="540" t="s">
        <v>23</v>
      </c>
      <c r="P39" s="540" t="s">
        <v>108</v>
      </c>
      <c r="Q39" s="540" t="str">
        <f>_xlfn.CONCAT("Exposure Estimates: ",$C$42," MOE")</f>
        <v>Exposure Estimates:  MOE</v>
      </c>
      <c r="R39" s="540"/>
      <c r="S39" s="540"/>
      <c r="T39" s="542"/>
    </row>
    <row r="40" spans="2:20" ht="33" customHeight="1" thickBot="1" x14ac:dyDescent="0.25">
      <c r="B40" s="549"/>
      <c r="C40" s="541"/>
      <c r="D40" s="541"/>
      <c r="E40" s="541"/>
      <c r="F40" s="416" t="s">
        <v>139</v>
      </c>
      <c r="G40" s="416" t="s">
        <v>34</v>
      </c>
      <c r="H40" s="416" t="s">
        <v>35</v>
      </c>
      <c r="I40" s="416" t="s">
        <v>32</v>
      </c>
      <c r="J40" s="416" t="s">
        <v>140</v>
      </c>
      <c r="K40" s="290" t="s">
        <v>31</v>
      </c>
      <c r="L40" s="90"/>
      <c r="M40" s="77"/>
      <c r="N40" s="533"/>
      <c r="O40" s="541"/>
      <c r="P40" s="541"/>
      <c r="Q40" s="318" t="s">
        <v>135</v>
      </c>
      <c r="R40" s="318" t="s">
        <v>33</v>
      </c>
      <c r="S40" s="318" t="s">
        <v>141</v>
      </c>
      <c r="T40" s="319" t="s">
        <v>142</v>
      </c>
    </row>
    <row r="41" spans="2:20" ht="33" customHeight="1" x14ac:dyDescent="0.2">
      <c r="B41" s="550" t="s">
        <v>143</v>
      </c>
      <c r="C41" s="555">
        <f>INDEX('Health Data'!$G:$G,MATCH($C$2,'Health Data'!$B:$B,0))</f>
        <v>0.96757990867579902</v>
      </c>
      <c r="D41" s="292" t="s">
        <v>103</v>
      </c>
      <c r="E41" s="421">
        <v>10</v>
      </c>
      <c r="F41" s="304">
        <f>IFERROR($C41/IF($C$36="Worker",$F$10,$F$11), "")</f>
        <v>876.9603477573495</v>
      </c>
      <c r="G41" s="305">
        <f>IFERROR($F41*'List Values'!$B$9, "")</f>
        <v>8769.6034775734952</v>
      </c>
      <c r="H41" s="305">
        <f>IFERROR($F41*'List Values'!$B$10, "")</f>
        <v>21924.008693933738</v>
      </c>
      <c r="I41" s="305">
        <f>IFERROR($F41*'List Values'!$B$11, "")</f>
        <v>43848.017387867476</v>
      </c>
      <c r="J41" s="305">
        <f>IFERROR($F41*'List Values'!$B$12, "")</f>
        <v>876960.34775734949</v>
      </c>
      <c r="K41" s="306">
        <f>IFERROR($F41*'List Values'!$B$13, "")</f>
        <v>8769603.4775734954</v>
      </c>
      <c r="L41" s="330"/>
      <c r="M41" s="77"/>
      <c r="N41" s="534">
        <f>INDEX('Health Data'!$K:$K,MATCH($C$2,'Health Data'!$B:$B,0))</f>
        <v>1.34</v>
      </c>
      <c r="O41" s="292" t="s">
        <v>103</v>
      </c>
      <c r="P41" s="421">
        <v>10</v>
      </c>
      <c r="Q41" s="305">
        <f>IFERROR($N41/Q$10, "")</f>
        <v>432.25806451612908</v>
      </c>
      <c r="R41" s="305">
        <f>IFERROR($N41/$Q$12, "")</f>
        <v>2161.2903225806454</v>
      </c>
      <c r="S41" s="305">
        <f>IFERROR($N41/$Q$14, "")</f>
        <v>4322.5806451612907</v>
      </c>
      <c r="T41" s="306">
        <f>IFERROR($N41/$Q$16, "")</f>
        <v>8645.1612903225814</v>
      </c>
    </row>
    <row r="42" spans="2:20" ht="33" customHeight="1" thickBot="1" x14ac:dyDescent="0.25">
      <c r="B42" s="551"/>
      <c r="C42" s="556"/>
      <c r="D42" s="293" t="s">
        <v>27</v>
      </c>
      <c r="E42" s="418">
        <v>10</v>
      </c>
      <c r="F42" s="303">
        <f>IFERROR($C41/IF($C$36="Worker",$F$12,$F$13), "")</f>
        <v>3983.0531928391174</v>
      </c>
      <c r="G42" s="303">
        <f>IFERROR($F42*'List Values'!$B$9, "")</f>
        <v>39830.531928391174</v>
      </c>
      <c r="H42" s="303">
        <f>IFERROR($F42*'List Values'!$B$10, "")</f>
        <v>99576.329820977931</v>
      </c>
      <c r="I42" s="303">
        <f>IFERROR($F42*'List Values'!$B$11, "")</f>
        <v>199152.65964195586</v>
      </c>
      <c r="J42" s="303">
        <f>IFERROR($F42*'List Values'!$B$12, "")</f>
        <v>3983053.1928391173</v>
      </c>
      <c r="K42" s="307">
        <f>IFERROR($F42*'List Values'!$B$13, "")</f>
        <v>39830531.928391173</v>
      </c>
      <c r="L42" s="330"/>
      <c r="M42" s="77"/>
      <c r="N42" s="535"/>
      <c r="O42" s="293" t="s">
        <v>27</v>
      </c>
      <c r="P42" s="418">
        <v>10</v>
      </c>
      <c r="Q42" s="321">
        <f>IFERROR($N41/$Q$11, "")</f>
        <v>1116.6666666666667</v>
      </c>
      <c r="R42" s="321">
        <f>IFERROR($N41/$Q$13, "")</f>
        <v>5583.3333333333339</v>
      </c>
      <c r="S42" s="321">
        <f>IFERROR($N41/$Q$15, "")</f>
        <v>11166.666666666668</v>
      </c>
      <c r="T42" s="322">
        <f>IFERROR($N41/$Q$17, "")</f>
        <v>22333.333333333336</v>
      </c>
    </row>
    <row r="43" spans="2:20" ht="33" customHeight="1" x14ac:dyDescent="0.2">
      <c r="B43" s="553" t="s">
        <v>145</v>
      </c>
      <c r="C43" s="555">
        <f>INDEX('Health Data'!$P:$P,MATCH($C$2,'Health Data'!$B:$B,0))</f>
        <v>3.2934931506849306E-2</v>
      </c>
      <c r="D43" s="292" t="s">
        <v>103</v>
      </c>
      <c r="E43" s="421">
        <v>30</v>
      </c>
      <c r="F43" s="304">
        <f>IFERROR($C43/IF($C$36="Worker",$G$10,$G$11), "")</f>
        <v>43.581556359125805</v>
      </c>
      <c r="G43" s="305">
        <f>IFERROR($F43*'List Values'!$B$9, "")</f>
        <v>435.81556359125807</v>
      </c>
      <c r="H43" s="305">
        <f>IFERROR($F43*'List Values'!$B$10, "")</f>
        <v>1089.5389089781452</v>
      </c>
      <c r="I43" s="305">
        <f>IFERROR($F43*'List Values'!$B$11, "")</f>
        <v>2179.0778179562903</v>
      </c>
      <c r="J43" s="305">
        <f>IFERROR($F43*'List Values'!$B$12, "")</f>
        <v>43581.556359125803</v>
      </c>
      <c r="K43" s="306">
        <f>IFERROR($F43*'List Values'!$B$13, "")</f>
        <v>435815.56359125808</v>
      </c>
      <c r="L43" s="330"/>
      <c r="M43" s="77"/>
      <c r="N43" s="534">
        <f>INDEX('Health Data'!$T:$T,MATCH($C$2,'Health Data'!$B:$B,0))</f>
        <v>4.8000000000000001E-2</v>
      </c>
      <c r="O43" s="292" t="s">
        <v>103</v>
      </c>
      <c r="P43" s="421">
        <v>30</v>
      </c>
      <c r="Q43" s="323">
        <f>IFERROR($N$43/$R$10, "")</f>
        <v>22.857142857142858</v>
      </c>
      <c r="R43" s="323">
        <f>IFERROR($N$43/$R$12, "")</f>
        <v>114.28571428571429</v>
      </c>
      <c r="S43" s="323">
        <f>IFERROR($N$43/$R$14, "")</f>
        <v>228.57142857142858</v>
      </c>
      <c r="T43" s="323">
        <f>IFERROR($N$43/$R$16, "")</f>
        <v>457.14285714285717</v>
      </c>
    </row>
    <row r="44" spans="2:20" ht="33" customHeight="1" thickBot="1" x14ac:dyDescent="0.25">
      <c r="B44" s="554"/>
      <c r="C44" s="556"/>
      <c r="D44" s="293" t="s">
        <v>27</v>
      </c>
      <c r="E44" s="418">
        <v>30</v>
      </c>
      <c r="F44" s="303">
        <f>IFERROR($C43/IF($C$36="Worker",$G$12,$G$13), "")</f>
        <v>197.94242424874702</v>
      </c>
      <c r="G44" s="303">
        <f>IFERROR($F44*'List Values'!$B$9, "")</f>
        <v>1979.4242424874701</v>
      </c>
      <c r="H44" s="303">
        <f>IFERROR($F44*'List Values'!$B$10, "")</f>
        <v>4948.5606062186753</v>
      </c>
      <c r="I44" s="303">
        <f>IFERROR($F44*'List Values'!$B$11, "")</f>
        <v>9897.1212124373506</v>
      </c>
      <c r="J44" s="303">
        <f>IFERROR($F44*'List Values'!$B$12, "")</f>
        <v>197942.424248747</v>
      </c>
      <c r="K44" s="307">
        <f>IFERROR($F44*'List Values'!$B$13, "")</f>
        <v>1979424.2424874702</v>
      </c>
      <c r="L44" s="330"/>
      <c r="M44" s="77"/>
      <c r="N44" s="603"/>
      <c r="O44" s="320" t="s">
        <v>27</v>
      </c>
      <c r="P44" s="420">
        <v>30</v>
      </c>
      <c r="Q44" s="323">
        <f>IFERROR($N$43/$R$11, "")</f>
        <v>60.759493670886073</v>
      </c>
      <c r="R44" s="323">
        <f>IFERROR($N$43/$R$13, "")</f>
        <v>303.79746835443041</v>
      </c>
      <c r="S44" s="323">
        <f>IFERROR($N$43/$R$15, "")</f>
        <v>607.59493670886081</v>
      </c>
      <c r="T44" s="323">
        <f>IFERROR($N$43/$R$17, "")</f>
        <v>1215.1898734177216</v>
      </c>
    </row>
    <row r="45" spans="2:20" ht="33" customHeight="1" x14ac:dyDescent="0.2">
      <c r="B45" s="294"/>
      <c r="C45" s="547" t="s">
        <v>146</v>
      </c>
      <c r="D45" s="530" t="s">
        <v>23</v>
      </c>
      <c r="E45" s="530" t="s">
        <v>108</v>
      </c>
      <c r="F45" s="530" t="str">
        <f>_xlfn.CONCAT("Exposure Estimates: ",$C$42," MOE")</f>
        <v>Exposure Estimates:  MOE</v>
      </c>
      <c r="G45" s="530"/>
      <c r="H45" s="530"/>
      <c r="I45" s="530"/>
      <c r="J45" s="530"/>
      <c r="K45" s="531"/>
      <c r="L45" s="90"/>
      <c r="M45" s="77"/>
      <c r="N45" s="532" t="s">
        <v>147</v>
      </c>
      <c r="O45" s="540" t="s">
        <v>23</v>
      </c>
      <c r="P45" s="540" t="s">
        <v>108</v>
      </c>
      <c r="Q45" s="540" t="str">
        <f>_xlfn.CONCAT("Exposure Estimates: ",$I$4," MOE")</f>
        <v>Exposure Estimates:  MOE</v>
      </c>
      <c r="R45" s="540"/>
      <c r="S45" s="540"/>
      <c r="T45" s="542"/>
    </row>
    <row r="46" spans="2:20" ht="33" customHeight="1" thickBot="1" x14ac:dyDescent="0.25">
      <c r="B46" s="294"/>
      <c r="C46" s="533"/>
      <c r="D46" s="541"/>
      <c r="E46" s="541"/>
      <c r="F46" s="416" t="s">
        <v>139</v>
      </c>
      <c r="G46" s="416" t="s">
        <v>34</v>
      </c>
      <c r="H46" s="416" t="s">
        <v>35</v>
      </c>
      <c r="I46" s="416" t="s">
        <v>32</v>
      </c>
      <c r="J46" s="416" t="s">
        <v>140</v>
      </c>
      <c r="K46" s="290" t="s">
        <v>31</v>
      </c>
      <c r="L46" s="90"/>
      <c r="M46" s="77"/>
      <c r="N46" s="533"/>
      <c r="O46" s="541"/>
      <c r="P46" s="541"/>
      <c r="Q46" s="318" t="s">
        <v>135</v>
      </c>
      <c r="R46" s="318" t="s">
        <v>33</v>
      </c>
      <c r="S46" s="318" t="s">
        <v>141</v>
      </c>
      <c r="T46" s="319" t="s">
        <v>142</v>
      </c>
    </row>
    <row r="47" spans="2:20" ht="33" customHeight="1" x14ac:dyDescent="0.2">
      <c r="B47" s="545" t="s">
        <v>148</v>
      </c>
      <c r="C47" s="599">
        <f>INDEX('Health Data'!$Y:$Y,MATCH($C$2,'Health Data'!$B:$B,0))</f>
        <v>2.1999999999999999E-2</v>
      </c>
      <c r="D47" s="299" t="s">
        <v>103</v>
      </c>
      <c r="E47" s="334">
        <v>1E-4</v>
      </c>
      <c r="F47" s="340">
        <f>IFERROR($C47*IF($C$36="Worker",$H$10,$H$11), "")</f>
        <v>4.1777089315701778E-6</v>
      </c>
      <c r="G47" s="341">
        <f>IFERROR($F47/'List Values'!$B$9, "")</f>
        <v>4.177708931570178E-7</v>
      </c>
      <c r="H47" s="341">
        <f>IFERROR($F47/'List Values'!$B$10, "")</f>
        <v>1.671083572628071E-7</v>
      </c>
      <c r="I47" s="341">
        <f>IFERROR($F47/'List Values'!$B$11, "")</f>
        <v>8.355417863140355E-8</v>
      </c>
      <c r="J47" s="341">
        <f>IFERROR($F47/'List Values'!$B$12, "")</f>
        <v>4.1777089315701778E-9</v>
      </c>
      <c r="K47" s="342">
        <f>IFERROR($F47/'List Values'!$B$13, "")</f>
        <v>4.1777089315701776E-10</v>
      </c>
      <c r="L47" s="333"/>
      <c r="M47" s="77"/>
      <c r="N47" s="600">
        <f>INDEX('Health Data'!$AB:$AB,MATCH($C$2,'Health Data'!$B:$B,0))</f>
        <v>4.6399999999999997E-2</v>
      </c>
      <c r="O47" s="299" t="s">
        <v>103</v>
      </c>
      <c r="P47" s="601">
        <v>1E-4</v>
      </c>
      <c r="Q47" s="301">
        <f>IFERROR($N$47*$S10, "")</f>
        <v>3.9903999999999996E-5</v>
      </c>
      <c r="R47" s="301">
        <f>IFERROR($N$47*$S12, "")</f>
        <v>7.9807999999999999E-6</v>
      </c>
      <c r="S47" s="301">
        <f>IFERROR($N$47*$S14, "")</f>
        <v>3.9903999999999999E-6</v>
      </c>
      <c r="T47" s="301">
        <f>IFERROR($N$47*$S16, "")</f>
        <v>1.9952E-6</v>
      </c>
    </row>
    <row r="48" spans="2:20" ht="33" customHeight="1" thickBot="1" x14ac:dyDescent="0.25">
      <c r="B48" s="546"/>
      <c r="C48" s="544"/>
      <c r="D48" s="293" t="s">
        <v>27</v>
      </c>
      <c r="E48" s="335">
        <v>1E-4</v>
      </c>
      <c r="F48" s="337">
        <f>IFERROR($C47*IF($C$36="Worker",$H$12,$H$13), "")</f>
        <v>7.1285915541756919E-7</v>
      </c>
      <c r="G48" s="338">
        <f>IFERROR($F48/'List Values'!$B$9, "")</f>
        <v>7.1285915541756916E-8</v>
      </c>
      <c r="H48" s="338">
        <f>IFERROR($F48/'List Values'!$B$10, "")</f>
        <v>2.8514366216702769E-8</v>
      </c>
      <c r="I48" s="338">
        <f>IFERROR($F48/'List Values'!$B$11, "")</f>
        <v>1.4257183108351385E-8</v>
      </c>
      <c r="J48" s="338">
        <f>IFERROR($F48/'List Values'!$B$12, "")</f>
        <v>7.1285915541756917E-10</v>
      </c>
      <c r="K48" s="339">
        <f>IFERROR($F48/'List Values'!$B$13, "")</f>
        <v>7.1285915541756922E-11</v>
      </c>
      <c r="L48" s="333"/>
      <c r="M48" s="77"/>
      <c r="N48" s="564"/>
      <c r="O48" s="293" t="s">
        <v>27</v>
      </c>
      <c r="P48" s="602"/>
      <c r="Q48" s="321">
        <f>IFERROR($N$47*$S11, "")</f>
        <v>1.3456E-5</v>
      </c>
      <c r="R48" s="321">
        <f>IFERROR($N$47*$S13, "")</f>
        <v>2.6911999999999997E-6</v>
      </c>
      <c r="S48" s="321">
        <f>IFERROR($N$47*$S15, "")</f>
        <v>1.3455999999999999E-6</v>
      </c>
      <c r="T48" s="321">
        <f>IFERROR($N$47*$S17, "")</f>
        <v>6.7279999999999994E-7</v>
      </c>
    </row>
    <row r="49" spans="2:19" ht="33" customHeight="1" x14ac:dyDescent="0.2">
      <c r="B49" s="79"/>
      <c r="M49" s="77"/>
    </row>
    <row r="50" spans="2:19" ht="33" customHeight="1" x14ac:dyDescent="0.2">
      <c r="B50" s="79"/>
      <c r="M50" s="77"/>
    </row>
    <row r="51" spans="2:19" ht="33" customHeight="1" x14ac:dyDescent="0.2">
      <c r="B51" s="79"/>
      <c r="M51" s="77"/>
    </row>
    <row r="52" spans="2:19" ht="33" customHeight="1" x14ac:dyDescent="0.2">
      <c r="B52" s="79"/>
      <c r="M52" s="77"/>
    </row>
    <row r="53" spans="2:19" ht="33" customHeight="1" x14ac:dyDescent="0.2">
      <c r="B53" s="79"/>
      <c r="M53" s="77"/>
    </row>
    <row r="54" spans="2:19" ht="33" customHeight="1" x14ac:dyDescent="0.2">
      <c r="B54" s="79"/>
      <c r="M54" s="77"/>
    </row>
    <row r="55" spans="2:19" s="85" customFormat="1" ht="21" x14ac:dyDescent="0.35">
      <c r="C55" s="66"/>
      <c r="D55" s="66"/>
      <c r="E55" s="66"/>
      <c r="F55" s="66"/>
      <c r="G55" s="66"/>
      <c r="H55" s="66"/>
      <c r="I55" s="66"/>
      <c r="J55" s="66"/>
      <c r="K55" s="66"/>
      <c r="L55" s="66"/>
      <c r="O55" s="66"/>
      <c r="P55" s="66"/>
      <c r="Q55" s="66"/>
      <c r="R55" s="66"/>
      <c r="S55" s="66"/>
    </row>
    <row r="56" spans="2:19" ht="25.5" customHeight="1" x14ac:dyDescent="0.2">
      <c r="B56" s="82"/>
      <c r="M56" s="90"/>
    </row>
    <row r="57" spans="2:19" ht="14.45" customHeight="1" x14ac:dyDescent="0.2">
      <c r="B57" s="82"/>
      <c r="M57" s="90"/>
    </row>
    <row r="58" spans="2:19" x14ac:dyDescent="0.2">
      <c r="B58" s="82"/>
      <c r="M58" s="89"/>
    </row>
    <row r="59" spans="2:19" x14ac:dyDescent="0.2">
      <c r="B59" s="82"/>
      <c r="M59" s="89"/>
    </row>
    <row r="63" spans="2:19" ht="29.1" customHeight="1" x14ac:dyDescent="0.2"/>
  </sheetData>
  <sheetProtection sheet="1" objects="1" scenarios="1" formatCells="0" formatColumns="0" formatRows="0"/>
  <mergeCells count="77">
    <mergeCell ref="C8:C9"/>
    <mergeCell ref="D8:D9"/>
    <mergeCell ref="N8:N9"/>
    <mergeCell ref="O8:O9"/>
    <mergeCell ref="D10:D11"/>
    <mergeCell ref="N10:N11"/>
    <mergeCell ref="Q20:Q21"/>
    <mergeCell ref="D12:D13"/>
    <mergeCell ref="N12:N13"/>
    <mergeCell ref="N14:N15"/>
    <mergeCell ref="C16:C17"/>
    <mergeCell ref="D16:D17"/>
    <mergeCell ref="E16:E17"/>
    <mergeCell ref="F16:F17"/>
    <mergeCell ref="G16:H16"/>
    <mergeCell ref="N16:N17"/>
    <mergeCell ref="C18:C19"/>
    <mergeCell ref="D18:D19"/>
    <mergeCell ref="N20:N21"/>
    <mergeCell ref="O20:O21"/>
    <mergeCell ref="P20:P21"/>
    <mergeCell ref="O22:O23"/>
    <mergeCell ref="C24:C25"/>
    <mergeCell ref="D24:D25"/>
    <mergeCell ref="N26:N27"/>
    <mergeCell ref="O26:O27"/>
    <mergeCell ref="C22:C23"/>
    <mergeCell ref="D22:D23"/>
    <mergeCell ref="E22:E23"/>
    <mergeCell ref="F22:F23"/>
    <mergeCell ref="G22:H22"/>
    <mergeCell ref="N22:N23"/>
    <mergeCell ref="Q32:Q33"/>
    <mergeCell ref="Q26:Q27"/>
    <mergeCell ref="C28:C29"/>
    <mergeCell ref="D28:D29"/>
    <mergeCell ref="E28:E29"/>
    <mergeCell ref="F28:F29"/>
    <mergeCell ref="G28:H28"/>
    <mergeCell ref="N28:N29"/>
    <mergeCell ref="O28:O29"/>
    <mergeCell ref="P26:P27"/>
    <mergeCell ref="C30:C31"/>
    <mergeCell ref="D30:D31"/>
    <mergeCell ref="N32:N33"/>
    <mergeCell ref="O32:O33"/>
    <mergeCell ref="P32:P33"/>
    <mergeCell ref="Q34:Q35"/>
    <mergeCell ref="B39:B40"/>
    <mergeCell ref="C39:C40"/>
    <mergeCell ref="D39:D40"/>
    <mergeCell ref="E39:E40"/>
    <mergeCell ref="F39:K39"/>
    <mergeCell ref="N39:N40"/>
    <mergeCell ref="O39:O40"/>
    <mergeCell ref="P39:P40"/>
    <mergeCell ref="Q39:T39"/>
    <mergeCell ref="B43:B44"/>
    <mergeCell ref="C43:C44"/>
    <mergeCell ref="N43:N44"/>
    <mergeCell ref="N34:N35"/>
    <mergeCell ref="O34:O35"/>
    <mergeCell ref="B41:B42"/>
    <mergeCell ref="C41:C42"/>
    <mergeCell ref="N41:N42"/>
    <mergeCell ref="P45:P46"/>
    <mergeCell ref="Q45:T45"/>
    <mergeCell ref="B47:B48"/>
    <mergeCell ref="C47:C48"/>
    <mergeCell ref="N47:N48"/>
    <mergeCell ref="P47:P48"/>
    <mergeCell ref="C45:C46"/>
    <mergeCell ref="D45:D46"/>
    <mergeCell ref="E45:E46"/>
    <mergeCell ref="F45:K45"/>
    <mergeCell ref="N45:N46"/>
    <mergeCell ref="O45:O46"/>
  </mergeCells>
  <conditionalFormatting sqref="E10:L13">
    <cfRule type="cellIs" dxfId="934" priority="23" operator="greaterThan">
      <formula>10</formula>
    </cfRule>
    <cfRule type="cellIs" dxfId="933" priority="17" operator="lessThanOrEqual">
      <formula>0.1</formula>
    </cfRule>
    <cfRule type="containsBlanks" dxfId="932" priority="18" stopIfTrue="1">
      <formula>LEN(TRIM(E10))=0</formula>
    </cfRule>
    <cfRule type="cellIs" dxfId="931" priority="19" operator="equal">
      <formula>0</formula>
    </cfRule>
    <cfRule type="cellIs" dxfId="930" priority="13" operator="greaterThanOrEqual">
      <formula>10000</formula>
    </cfRule>
    <cfRule type="cellIs" dxfId="929" priority="20" operator="lessThan">
      <formula>0.1</formula>
    </cfRule>
    <cfRule type="cellIs" dxfId="928" priority="21" operator="between">
      <formula>0.1</formula>
      <formula>0.999</formula>
    </cfRule>
    <cfRule type="cellIs" dxfId="927" priority="22" operator="between">
      <formula>1</formula>
      <formula>10</formula>
    </cfRule>
    <cfRule type="cellIs" dxfId="926" priority="24" operator="greaterThan">
      <formula>10000</formula>
    </cfRule>
    <cfRule type="cellIs" dxfId="925" priority="14" operator="greaterThanOrEqual">
      <formula>10</formula>
    </cfRule>
    <cfRule type="cellIs" dxfId="924" priority="15" operator="between">
      <formula>1</formula>
      <formula>9.999</formula>
    </cfRule>
    <cfRule type="cellIs" dxfId="923" priority="16" operator="between">
      <formula>0.1</formula>
      <formula>0.999</formula>
    </cfRule>
  </conditionalFormatting>
  <conditionalFormatting sqref="F41:K42">
    <cfRule type="cellIs" dxfId="922" priority="69" operator="greaterThanOrEqual">
      <formula>$E$41</formula>
    </cfRule>
    <cfRule type="cellIs" dxfId="921" priority="70" operator="lessThan">
      <formula>$E$43</formula>
    </cfRule>
  </conditionalFormatting>
  <conditionalFormatting sqref="F43:K44">
    <cfRule type="cellIs" dxfId="920" priority="67" operator="greaterThanOrEqual">
      <formula>$E$43</formula>
    </cfRule>
    <cfRule type="cellIs" dxfId="919" priority="68" operator="lessThan">
      <formula>$E$43</formula>
    </cfRule>
  </conditionalFormatting>
  <conditionalFormatting sqref="F48:K48">
    <cfRule type="cellIs" dxfId="918" priority="49" operator="between">
      <formula>1</formula>
      <formula>9.999</formula>
    </cfRule>
    <cfRule type="cellIs" dxfId="917" priority="50" operator="between">
      <formula>0.1</formula>
      <formula>0.999</formula>
    </cfRule>
    <cfRule type="containsBlanks" dxfId="916" priority="51" stopIfTrue="1">
      <formula>LEN(TRIM(F48))=0</formula>
    </cfRule>
    <cfRule type="cellIs" dxfId="915" priority="52" operator="greaterThanOrEqual">
      <formula>0.0001</formula>
    </cfRule>
  </conditionalFormatting>
  <conditionalFormatting sqref="F41:L44">
    <cfRule type="cellIs" dxfId="914" priority="61" operator="greaterThanOrEqual">
      <formula>10000</formula>
    </cfRule>
    <cfRule type="cellIs" dxfId="913" priority="62" operator="greaterThanOrEqual">
      <formula>10</formula>
    </cfRule>
    <cfRule type="cellIs" dxfId="912" priority="64" operator="between">
      <formula>0.1</formula>
      <formula>0.999</formula>
    </cfRule>
    <cfRule type="cellIs" dxfId="911" priority="65" operator="lessThanOrEqual">
      <formula>0.1</formula>
    </cfRule>
    <cfRule type="containsBlanks" dxfId="910" priority="66" stopIfTrue="1">
      <formula>LEN(TRIM(F41))=0</formula>
    </cfRule>
    <cfRule type="cellIs" dxfId="909" priority="63" operator="between">
      <formula>1</formula>
      <formula>9.999</formula>
    </cfRule>
  </conditionalFormatting>
  <conditionalFormatting sqref="F47:L47">
    <cfRule type="containsBlanks" dxfId="908" priority="76" stopIfTrue="1">
      <formula>LEN(TRIM(F47))=0</formula>
    </cfRule>
    <cfRule type="cellIs" dxfId="907" priority="74" operator="between">
      <formula>0.1</formula>
      <formula>0.999</formula>
    </cfRule>
    <cfRule type="cellIs" dxfId="906" priority="73" operator="between">
      <formula>1</formula>
      <formula>9.999</formula>
    </cfRule>
    <cfRule type="cellIs" dxfId="905" priority="77" operator="greaterThanOrEqual">
      <formula>0.0001</formula>
    </cfRule>
  </conditionalFormatting>
  <conditionalFormatting sqref="F47:L48">
    <cfRule type="cellIs" dxfId="904" priority="71" operator="greaterThanOrEqual">
      <formula>10000</formula>
    </cfRule>
    <cfRule type="cellIs" dxfId="903" priority="72" operator="greaterThanOrEqual">
      <formula>10</formula>
    </cfRule>
  </conditionalFormatting>
  <conditionalFormatting sqref="F48:L48">
    <cfRule type="cellIs" dxfId="902" priority="75" operator="lessThanOrEqual">
      <formula>0.1</formula>
    </cfRule>
  </conditionalFormatting>
  <conditionalFormatting sqref="G18:L19 G24:L25">
    <cfRule type="cellIs" dxfId="901" priority="118" operator="greaterThanOrEqual">
      <formula>10000</formula>
    </cfRule>
    <cfRule type="cellIs" dxfId="900" priority="124" operator="lessThan">
      <formula>$F18</formula>
    </cfRule>
    <cfRule type="cellIs" dxfId="899" priority="119" operator="greaterThanOrEqual">
      <formula>10</formula>
    </cfRule>
    <cfRule type="cellIs" dxfId="898" priority="120" operator="between">
      <formula>1</formula>
      <formula>9.999</formula>
    </cfRule>
    <cfRule type="cellIs" dxfId="897" priority="121" operator="between">
      <formula>0.1</formula>
      <formula>0.999</formula>
    </cfRule>
    <cfRule type="cellIs" dxfId="896" priority="122" operator="lessThanOrEqual">
      <formula>0.1</formula>
    </cfRule>
    <cfRule type="containsBlanks" dxfId="895" priority="123" stopIfTrue="1">
      <formula>LEN(TRIM(G18))=0</formula>
    </cfRule>
  </conditionalFormatting>
  <conditionalFormatting sqref="G30:L31 R34:R35">
    <cfRule type="cellIs" dxfId="894" priority="117" operator="greaterThan">
      <formula>0.0001</formula>
    </cfRule>
  </conditionalFormatting>
  <conditionalFormatting sqref="G30:L31">
    <cfRule type="cellIs" dxfId="893" priority="113" operator="between">
      <formula>0.1</formula>
      <formula>0.999</formula>
    </cfRule>
    <cfRule type="cellIs" dxfId="892" priority="110" operator="greaterThanOrEqual">
      <formula>10000</formula>
    </cfRule>
    <cfRule type="cellIs" dxfId="891" priority="112" operator="between">
      <formula>1</formula>
      <formula>9.999</formula>
    </cfRule>
    <cfRule type="cellIs" dxfId="890" priority="114" operator="lessThanOrEqual">
      <formula>0.1</formula>
    </cfRule>
    <cfRule type="containsBlanks" dxfId="889" priority="115" stopIfTrue="1">
      <formula>LEN(TRIM(G30))=0</formula>
    </cfRule>
    <cfRule type="cellIs" dxfId="888" priority="116" operator="equal">
      <formula>0</formula>
    </cfRule>
    <cfRule type="cellIs" dxfId="887" priority="111" operator="greaterThanOrEqual">
      <formula>10</formula>
    </cfRule>
  </conditionalFormatting>
  <conditionalFormatting sqref="L41:L42">
    <cfRule type="cellIs" dxfId="886" priority="89" operator="greaterThanOrEqual">
      <formula>$E$45</formula>
    </cfRule>
    <cfRule type="cellIs" dxfId="885" priority="90" operator="lessThan">
      <formula>$E$45</formula>
    </cfRule>
  </conditionalFormatting>
  <conditionalFormatting sqref="L43:L44">
    <cfRule type="cellIs" dxfId="884" priority="87" operator="greaterThanOrEqual">
      <formula>$E$49</formula>
    </cfRule>
    <cfRule type="cellIs" dxfId="883" priority="88" operator="lessThan">
      <formula>$E$49</formula>
    </cfRule>
  </conditionalFormatting>
  <conditionalFormatting sqref="L47">
    <cfRule type="cellIs" dxfId="882" priority="85" operator="between">
      <formula>0.00001</formula>
      <formula>0.0001</formula>
    </cfRule>
    <cfRule type="cellIs" dxfId="881" priority="86" operator="between">
      <formula>0.000001</formula>
      <formula>0.00001</formula>
    </cfRule>
  </conditionalFormatting>
  <conditionalFormatting sqref="P10:S17">
    <cfRule type="cellIs" dxfId="880" priority="11" operator="greaterThan">
      <formula>10</formula>
    </cfRule>
    <cfRule type="cellIs" dxfId="879" priority="12" operator="greaterThan">
      <formula>10000</formula>
    </cfRule>
    <cfRule type="cellIs" dxfId="878" priority="1" operator="greaterThanOrEqual">
      <formula>10000</formula>
    </cfRule>
    <cfRule type="cellIs" dxfId="877" priority="2" operator="greaterThanOrEqual">
      <formula>10</formula>
    </cfRule>
    <cfRule type="cellIs" dxfId="876" priority="3" operator="between">
      <formula>1</formula>
      <formula>9.999</formula>
    </cfRule>
    <cfRule type="cellIs" dxfId="875" priority="4" operator="between">
      <formula>0.1</formula>
      <formula>0.999</formula>
    </cfRule>
    <cfRule type="cellIs" dxfId="874" priority="5" operator="lessThanOrEqual">
      <formula>0.1</formula>
    </cfRule>
    <cfRule type="containsBlanks" dxfId="873" priority="6" stopIfTrue="1">
      <formula>LEN(TRIM(P10))=0</formula>
    </cfRule>
    <cfRule type="cellIs" dxfId="872" priority="7" operator="equal">
      <formula>0</formula>
    </cfRule>
    <cfRule type="cellIs" dxfId="871" priority="8" operator="lessThan">
      <formula>0.1</formula>
    </cfRule>
    <cfRule type="cellIs" dxfId="870" priority="9" operator="between">
      <formula>0.1</formula>
      <formula>0.999</formula>
    </cfRule>
    <cfRule type="cellIs" dxfId="869" priority="10" operator="between">
      <formula>1</formula>
      <formula>10</formula>
    </cfRule>
  </conditionalFormatting>
  <conditionalFormatting sqref="Q41:T44">
    <cfRule type="cellIs" dxfId="868" priority="58" operator="lessThanOrEqual">
      <formula>0.1</formula>
    </cfRule>
    <cfRule type="cellIs" dxfId="867" priority="57" operator="greaterThanOrEqual">
      <formula>10</formula>
    </cfRule>
    <cfRule type="cellIs" dxfId="866" priority="56" operator="greaterThanOrEqual">
      <formula>10000</formula>
    </cfRule>
    <cfRule type="containsBlanks" dxfId="865" priority="55" stopIfTrue="1">
      <formula>LEN(TRIM(Q41))=0</formula>
    </cfRule>
    <cfRule type="cellIs" dxfId="864" priority="54" operator="between">
      <formula>0.1</formula>
      <formula>0.999</formula>
    </cfRule>
    <cfRule type="cellIs" dxfId="863" priority="53" operator="between">
      <formula>1</formula>
      <formula>9.999</formula>
    </cfRule>
  </conditionalFormatting>
  <conditionalFormatting sqref="Q42:T42">
    <cfRule type="cellIs" dxfId="862" priority="83" operator="greaterThanOrEqual">
      <formula>$P$41</formula>
    </cfRule>
    <cfRule type="cellIs" dxfId="861" priority="84" operator="lessThan">
      <formula>$P$41</formula>
    </cfRule>
  </conditionalFormatting>
  <conditionalFormatting sqref="Q43:T44">
    <cfRule type="cellIs" dxfId="860" priority="60" operator="lessThan">
      <formula>$P$43</formula>
    </cfRule>
    <cfRule type="cellIs" dxfId="859" priority="59" operator="greaterThanOrEqual">
      <formula>$P$43</formula>
    </cfRule>
  </conditionalFormatting>
  <conditionalFormatting sqref="Q47:T48">
    <cfRule type="cellIs" dxfId="858" priority="78" operator="greaterThan">
      <formula>100</formula>
    </cfRule>
    <cfRule type="cellIs" dxfId="857" priority="79" operator="between">
      <formula>1</formula>
      <formula>100</formula>
    </cfRule>
    <cfRule type="cellIs" dxfId="856" priority="80" operator="lessThanOrEqual">
      <formula>0.1</formula>
    </cfRule>
    <cfRule type="containsBlanks" dxfId="855" priority="81" stopIfTrue="1">
      <formula>LEN(TRIM(Q47))=0</formula>
    </cfRule>
    <cfRule type="cellIs" dxfId="854" priority="82" operator="greaterThanOrEqual">
      <formula>0.0001</formula>
    </cfRule>
  </conditionalFormatting>
  <conditionalFormatting sqref="R22:R23 R28:R29">
    <cfRule type="cellIs" dxfId="853" priority="103" operator="greaterThanOrEqual">
      <formula>10000</formula>
    </cfRule>
    <cfRule type="cellIs" dxfId="852" priority="104" operator="greaterThanOrEqual">
      <formula>10</formula>
    </cfRule>
    <cfRule type="cellIs" dxfId="851" priority="105" operator="between">
      <formula>1</formula>
      <formula>9.999</formula>
    </cfRule>
    <cfRule type="cellIs" dxfId="850" priority="106" operator="between">
      <formula>0.1</formula>
      <formula>0.999</formula>
    </cfRule>
    <cfRule type="cellIs" dxfId="849" priority="107" operator="lessThanOrEqual">
      <formula>0.1</formula>
    </cfRule>
    <cfRule type="containsBlanks" dxfId="848" priority="108" stopIfTrue="1">
      <formula>LEN(TRIM(R22))=0</formula>
    </cfRule>
    <cfRule type="cellIs" dxfId="847" priority="109" operator="lessThan">
      <formula>$Q22</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33B87-7C5C-4438-A038-14D4192ADBBC}">
  <dimension ref="B1:U63"/>
  <sheetViews>
    <sheetView topLeftCell="E1" workbookViewId="0">
      <selection activeCell="S9" sqref="S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12" width="15.85546875" style="66" customWidth="1"/>
    <col min="13" max="13" width="12.85546875" style="66" customWidth="1"/>
    <col min="14" max="14" width="21.28515625" style="66" customWidth="1"/>
    <col min="15" max="15" width="28.42578125" style="66" customWidth="1"/>
    <col min="16" max="19" width="14.85546875" style="66" customWidth="1"/>
    <col min="20" max="21" width="13.5703125" style="66" customWidth="1"/>
    <col min="22" max="16384" width="8.7109375" style="66"/>
  </cols>
  <sheetData>
    <row r="1" spans="2:21" ht="21" x14ac:dyDescent="0.35">
      <c r="C1" s="83"/>
    </row>
    <row r="2" spans="2:21" ht="21" x14ac:dyDescent="0.35">
      <c r="C2" s="83" t="s">
        <v>2</v>
      </c>
      <c r="M2" s="68"/>
      <c r="T2" s="67"/>
    </row>
    <row r="3" spans="2:21" ht="15.75" x14ac:dyDescent="0.25">
      <c r="C3" s="67"/>
      <c r="M3" s="68"/>
      <c r="T3" s="67"/>
    </row>
    <row r="4" spans="2:21" ht="21" x14ac:dyDescent="0.35">
      <c r="C4" s="84" t="s">
        <v>83</v>
      </c>
      <c r="D4" s="85"/>
      <c r="E4" s="85"/>
      <c r="F4" s="85"/>
      <c r="G4" s="85"/>
      <c r="H4" s="85"/>
      <c r="I4" s="85"/>
      <c r="J4" s="85"/>
      <c r="K4" s="85"/>
      <c r="L4" s="85"/>
      <c r="N4" s="84" t="s">
        <v>29</v>
      </c>
      <c r="T4" s="67"/>
    </row>
    <row r="5" spans="2:21" ht="21" x14ac:dyDescent="0.35">
      <c r="C5" s="85"/>
      <c r="D5" s="85"/>
      <c r="E5" s="85"/>
      <c r="F5" s="85"/>
      <c r="G5" s="85"/>
      <c r="H5" s="85"/>
      <c r="I5" s="85"/>
      <c r="J5" s="85"/>
      <c r="K5" s="85"/>
      <c r="L5" s="85"/>
      <c r="N5" s="83"/>
      <c r="T5" s="67"/>
    </row>
    <row r="6" spans="2:21" ht="21" x14ac:dyDescent="0.35">
      <c r="C6" s="83" t="s">
        <v>84</v>
      </c>
      <c r="D6" s="85"/>
      <c r="E6" s="85"/>
      <c r="F6" s="85"/>
      <c r="G6" s="85"/>
      <c r="H6" s="85"/>
      <c r="I6" s="85"/>
      <c r="J6" s="85"/>
      <c r="K6" s="85"/>
      <c r="L6" s="85"/>
      <c r="N6" s="83" t="s">
        <v>84</v>
      </c>
      <c r="T6" s="67"/>
    </row>
    <row r="7" spans="2:21" ht="15.75" x14ac:dyDescent="0.25">
      <c r="C7" s="67"/>
      <c r="M7" s="68"/>
      <c r="T7" s="67"/>
    </row>
    <row r="8" spans="2:21" ht="78" customHeight="1" x14ac:dyDescent="0.25">
      <c r="C8" s="592" t="s">
        <v>85</v>
      </c>
      <c r="D8" s="593" t="s">
        <v>23</v>
      </c>
      <c r="E8" s="411" t="s">
        <v>86</v>
      </c>
      <c r="F8" s="411" t="s">
        <v>87</v>
      </c>
      <c r="G8" s="411" t="s">
        <v>89</v>
      </c>
      <c r="H8" s="411" t="s">
        <v>90</v>
      </c>
      <c r="I8" s="291"/>
      <c r="J8" s="291"/>
      <c r="K8" s="291"/>
      <c r="L8" s="291"/>
      <c r="M8" s="1"/>
      <c r="N8" s="592" t="s">
        <v>85</v>
      </c>
      <c r="O8" s="592" t="s">
        <v>23</v>
      </c>
      <c r="P8" s="411" t="s">
        <v>91</v>
      </c>
      <c r="Q8" s="411" t="s">
        <v>92</v>
      </c>
      <c r="R8" s="411" t="s">
        <v>94</v>
      </c>
      <c r="S8" s="411" t="s">
        <v>95</v>
      </c>
      <c r="U8" s="67"/>
    </row>
    <row r="9" spans="2:21" ht="27" x14ac:dyDescent="0.25">
      <c r="C9" s="592"/>
      <c r="D9" s="593"/>
      <c r="E9" s="411" t="s">
        <v>158</v>
      </c>
      <c r="F9" s="411" t="s">
        <v>159</v>
      </c>
      <c r="G9" s="411" t="s">
        <v>160</v>
      </c>
      <c r="H9" s="411" t="s">
        <v>161</v>
      </c>
      <c r="I9" s="291"/>
      <c r="J9" s="291"/>
      <c r="K9" s="291"/>
      <c r="L9" s="291"/>
      <c r="M9" s="1"/>
      <c r="N9" s="592"/>
      <c r="O9" s="592"/>
      <c r="P9" s="411" t="s">
        <v>100</v>
      </c>
      <c r="Q9" s="411" t="s">
        <v>162</v>
      </c>
      <c r="R9" s="411" t="s">
        <v>163</v>
      </c>
      <c r="S9" s="411" t="s">
        <v>507</v>
      </c>
      <c r="U9" s="67"/>
    </row>
    <row r="10" spans="2:21" ht="15.6" customHeight="1" x14ac:dyDescent="0.25">
      <c r="C10" s="88" t="s">
        <v>30</v>
      </c>
      <c r="D10" s="594" t="s">
        <v>103</v>
      </c>
      <c r="E10" s="316">
        <f>'Inhalation Exposures'!I69</f>
        <v>2.5120036627770747E-4</v>
      </c>
      <c r="F10" s="316">
        <f>'Inhalation Exposures'!K69</f>
        <v>1.708846029100051E-4</v>
      </c>
      <c r="G10" s="316">
        <f>'Inhalation Exposures'!O69</f>
        <v>1.1704424856849664E-4</v>
      </c>
      <c r="H10" s="316">
        <f>'Inhalation Exposures'!Q69</f>
        <v>2.9411118871058132E-5</v>
      </c>
      <c r="I10" s="329"/>
      <c r="J10" s="329"/>
      <c r="K10" s="329"/>
      <c r="L10" s="329"/>
      <c r="M10" s="1"/>
      <c r="N10" s="595" t="s">
        <v>104</v>
      </c>
      <c r="O10" s="72" t="s">
        <v>103</v>
      </c>
      <c r="P10" s="316">
        <f>IFERROR(INDEX('Dermal Exposures'!$J$33:$J$34, MATCH(TCE_operator!$C$2, 'Dermal Exposures'!$A$33:$A$34, 0)), "")</f>
        <v>0.24</v>
      </c>
      <c r="Q10" s="316">
        <f>IFERROR(INDEX('Dermal Exposures'!$K$33:$K$34, MATCH(TCE_operator!$C$2, 'Dermal Exposures'!$A$33:$A$34, 0)), "")</f>
        <v>3.0999999999999999E-3</v>
      </c>
      <c r="R10" s="316">
        <f>IFERROR(INDEX('Dermal Exposures'!$M$33:$M$34, MATCH(TCE_operator!$C$2, 'Dermal Exposures'!$A$33:$A$34, 0)), "")</f>
        <v>2.0999999999999999E-3</v>
      </c>
      <c r="S10" s="316">
        <f>IFERROR(INDEX('Dermal Exposures'!$N$33:$N$34, MATCH(TCE_operator!$C$2, 'Dermal Exposures'!$A$33:$A$34, 0)), "")</f>
        <v>8.5999999999999998E-4</v>
      </c>
      <c r="U10" s="67"/>
    </row>
    <row r="11" spans="2:21" ht="15.75" x14ac:dyDescent="0.25">
      <c r="C11" s="88" t="s">
        <v>28</v>
      </c>
      <c r="D11" s="594"/>
      <c r="E11" s="316">
        <f>'Inhalation Exposures'!I80</f>
        <v>1.6219005447518585E-3</v>
      </c>
      <c r="F11" s="316">
        <f>'Inhalation Exposures'!K80</f>
        <v>1.103333703912829E-3</v>
      </c>
      <c r="G11" s="316">
        <f>'Inhalation Exposures'!O80</f>
        <v>7.5570801637865007E-4</v>
      </c>
      <c r="H11" s="316">
        <f>'Inhalation Exposures'!Q80</f>
        <v>1.8989586052591719E-4</v>
      </c>
      <c r="I11" s="329"/>
      <c r="J11" s="329"/>
      <c r="K11" s="329"/>
      <c r="L11" s="329"/>
      <c r="M11" s="1"/>
      <c r="N11" s="595"/>
      <c r="O11" s="72" t="s">
        <v>27</v>
      </c>
      <c r="P11" s="316">
        <f>IFERROR(INDEX('Dermal Exposures'!$O$33:$O$34, MATCH(TCE_operator!$C$2, 'Dermal Exposures'!$A$33:$A$34, 0)), "")</f>
        <v>0.09</v>
      </c>
      <c r="Q11" s="316">
        <f>IFERROR(INDEX('Dermal Exposures'!$P$33:$P$34, MATCH(TCE_operator!$C$2, 'Dermal Exposures'!$A$33:$A$34, 0)), "")</f>
        <v>1.1999999999999999E-3</v>
      </c>
      <c r="R11" s="316">
        <f>IFERROR(INDEX('Dermal Exposures'!$R$33:$R$34, MATCH(TCE_operator!$C$2, 'Dermal Exposures'!$A$33:$A$34, 0)), "")</f>
        <v>7.9000000000000001E-4</v>
      </c>
      <c r="S11" s="316">
        <f>IFERROR(INDEX('Dermal Exposures'!$S$33:$S$34, MATCH(TCE_operator!$C$2, 'Dermal Exposures'!$A$33:$A$34, 0)), "")</f>
        <v>2.9E-4</v>
      </c>
      <c r="U11" s="67"/>
    </row>
    <row r="12" spans="2:21" ht="15.6" customHeight="1" x14ac:dyDescent="0.25">
      <c r="C12" s="88" t="s">
        <v>30</v>
      </c>
      <c r="D12" s="591" t="s">
        <v>27</v>
      </c>
      <c r="E12" s="316">
        <f>'Inhalation Exposures'!J69</f>
        <v>5.9930340637844853E-5</v>
      </c>
      <c r="F12" s="316">
        <f>'Inhalation Exposures'!L69</f>
        <v>4.0768939209418266E-5</v>
      </c>
      <c r="G12" s="316">
        <f>'Inhalation Exposures'!P69</f>
        <v>2.7923930965354977E-5</v>
      </c>
      <c r="H12" s="316">
        <f>'Inhalation Exposures'!R69</f>
        <v>5.4380065559454112E-6</v>
      </c>
      <c r="I12" s="329"/>
      <c r="J12" s="329"/>
      <c r="K12" s="329"/>
      <c r="L12" s="329"/>
      <c r="M12" s="1"/>
      <c r="N12" s="565" t="str">
        <f>_xlfn.CONCAT("Worker with Gloves; 
PF of ",'List Values'!$B$16)</f>
        <v>Worker with Gloves; 
PF of 5</v>
      </c>
      <c r="O12" s="71" t="s">
        <v>103</v>
      </c>
      <c r="P12" s="316">
        <f>P10/'List Values'!$B$16</f>
        <v>4.8000000000000001E-2</v>
      </c>
      <c r="Q12" s="316">
        <f>Q10/'List Values'!$B$16</f>
        <v>6.2E-4</v>
      </c>
      <c r="R12" s="316">
        <f>R10/'List Values'!$B$16</f>
        <v>4.1999999999999996E-4</v>
      </c>
      <c r="S12" s="316">
        <f>S10/'List Values'!$B$16</f>
        <v>1.7200000000000001E-4</v>
      </c>
    </row>
    <row r="13" spans="2:21" ht="15" x14ac:dyDescent="0.25">
      <c r="C13" s="88" t="s">
        <v>28</v>
      </c>
      <c r="D13" s="591"/>
      <c r="E13" s="316">
        <f>'Inhalation Exposures'!J80</f>
        <v>3.5709853644700637E-4</v>
      </c>
      <c r="F13" s="316">
        <f>'Inhalation Exposures'!L80</f>
        <v>2.4292417445374582E-4</v>
      </c>
      <c r="G13" s="316">
        <f>'Inhalation Exposures'!P80</f>
        <v>1.6638642085873E-4</v>
      </c>
      <c r="H13" s="316">
        <f>'Inhalation Exposures'!R80</f>
        <v>3.2402688882616782E-5</v>
      </c>
      <c r="I13" s="329"/>
      <c r="J13" s="329"/>
      <c r="K13" s="329"/>
      <c r="L13" s="329"/>
      <c r="M13" s="1"/>
      <c r="N13" s="565"/>
      <c r="O13" s="71" t="s">
        <v>27</v>
      </c>
      <c r="P13" s="316">
        <f>P11/'List Values'!$B$16</f>
        <v>1.7999999999999999E-2</v>
      </c>
      <c r="Q13" s="316">
        <f>Q11/'List Values'!$B$16</f>
        <v>2.3999999999999998E-4</v>
      </c>
      <c r="R13" s="316">
        <f>R11/'List Values'!$B$16</f>
        <v>1.5799999999999999E-4</v>
      </c>
      <c r="S13" s="316">
        <f>S11/'List Values'!$B$16</f>
        <v>5.8E-5</v>
      </c>
    </row>
    <row r="14" spans="2:21" x14ac:dyDescent="0.2">
      <c r="N14" s="565" t="str">
        <f>_xlfn.CONCAT("Worker with Gloves; 
PF of ",'List Values'!$B$17)</f>
        <v>Worker with Gloves; 
PF of 10</v>
      </c>
      <c r="O14" s="71" t="s">
        <v>103</v>
      </c>
      <c r="P14" s="316">
        <f>P10/'List Values'!$B$17</f>
        <v>2.4E-2</v>
      </c>
      <c r="Q14" s="316">
        <f>Q10/'List Values'!$B$17</f>
        <v>3.1E-4</v>
      </c>
      <c r="R14" s="316">
        <f>R10/'List Values'!$B$17</f>
        <v>2.0999999999999998E-4</v>
      </c>
      <c r="S14" s="316">
        <f>S10/'List Values'!$B$17</f>
        <v>8.6000000000000003E-5</v>
      </c>
    </row>
    <row r="15" spans="2:21" ht="21" x14ac:dyDescent="0.35">
      <c r="C15" s="83" t="s">
        <v>105</v>
      </c>
      <c r="N15" s="565"/>
      <c r="O15" s="71" t="s">
        <v>27</v>
      </c>
      <c r="P15" s="316">
        <f>P11/'List Values'!$B$17</f>
        <v>8.9999999999999993E-3</v>
      </c>
      <c r="Q15" s="316">
        <f>Q11/'List Values'!$B$17</f>
        <v>1.1999999999999999E-4</v>
      </c>
      <c r="R15" s="316">
        <f>R11/'List Values'!$B$17</f>
        <v>7.8999999999999996E-5</v>
      </c>
      <c r="S15" s="316">
        <f>S11/'List Values'!$B$17</f>
        <v>2.9E-5</v>
      </c>
    </row>
    <row r="16" spans="2:21" ht="28.5" customHeight="1" x14ac:dyDescent="0.2">
      <c r="B16" s="70"/>
      <c r="C16" s="568" t="s">
        <v>106</v>
      </c>
      <c r="D16" s="568" t="s">
        <v>107</v>
      </c>
      <c r="E16" s="568" t="s">
        <v>23</v>
      </c>
      <c r="F16" s="568" t="s">
        <v>108</v>
      </c>
      <c r="G16" s="568" t="s">
        <v>109</v>
      </c>
      <c r="H16" s="568"/>
      <c r="I16" s="90"/>
      <c r="J16" s="90"/>
      <c r="K16" s="90"/>
      <c r="L16" s="90"/>
      <c r="M16" s="90"/>
      <c r="N16" s="565" t="str">
        <f>_xlfn.CONCAT("Worker with Gloves; 
PF of ",'List Values'!$B$18)</f>
        <v>Worker with Gloves; 
PF of 20</v>
      </c>
      <c r="O16" s="71" t="s">
        <v>103</v>
      </c>
      <c r="P16" s="316">
        <f>P10/'List Values'!$B$18</f>
        <v>1.2E-2</v>
      </c>
      <c r="Q16" s="316">
        <f>Q10/'List Values'!$B$18</f>
        <v>1.55E-4</v>
      </c>
      <c r="R16" s="316">
        <f>R10/'List Values'!$B$18</f>
        <v>1.0499999999999999E-4</v>
      </c>
      <c r="S16" s="316">
        <f>S10/'List Values'!$B$18</f>
        <v>4.3000000000000002E-5</v>
      </c>
    </row>
    <row r="17" spans="2:20" ht="26.1" customHeight="1" x14ac:dyDescent="0.2">
      <c r="B17" s="70"/>
      <c r="C17" s="568"/>
      <c r="D17" s="568"/>
      <c r="E17" s="568"/>
      <c r="F17" s="568"/>
      <c r="G17" s="413" t="s">
        <v>110</v>
      </c>
      <c r="H17" s="413" t="s">
        <v>111</v>
      </c>
      <c r="I17" s="90"/>
      <c r="J17" s="90"/>
      <c r="K17" s="90"/>
      <c r="L17" s="90"/>
      <c r="M17" s="90"/>
      <c r="N17" s="565"/>
      <c r="O17" s="71" t="s">
        <v>27</v>
      </c>
      <c r="P17" s="316">
        <f>P11/'List Values'!$B$18</f>
        <v>4.4999999999999997E-3</v>
      </c>
      <c r="Q17" s="316">
        <f>Q11/'List Values'!$B$18</f>
        <v>5.9999999999999995E-5</v>
      </c>
      <c r="R17" s="316">
        <f>R11/'List Values'!$B$18</f>
        <v>3.9499999999999998E-5</v>
      </c>
      <c r="S17" s="316">
        <f>S11/'List Values'!$B$18</f>
        <v>1.45E-5</v>
      </c>
    </row>
    <row r="18" spans="2:20" ht="27.6" customHeight="1" x14ac:dyDescent="0.2">
      <c r="B18" s="70"/>
      <c r="C18" s="606" t="s">
        <v>164</v>
      </c>
      <c r="D18" s="580">
        <f>INDEX('Health Data'!$G:$G,MATCH($C$2,'Health Data'!$B:$B,0))</f>
        <v>0.96757990867579902</v>
      </c>
      <c r="E18" s="71" t="s">
        <v>103</v>
      </c>
      <c r="F18" s="412">
        <v>10</v>
      </c>
      <c r="G18" s="101">
        <f>D18/$F$10</f>
        <v>5662.18308846331</v>
      </c>
      <c r="H18" s="102">
        <f>D18/$F$11</f>
        <v>876.9603477573495</v>
      </c>
      <c r="I18" s="330"/>
      <c r="J18" s="330"/>
      <c r="K18" s="330"/>
      <c r="L18" s="330"/>
      <c r="M18" s="77"/>
    </row>
    <row r="19" spans="2:20" ht="25.5" customHeight="1" x14ac:dyDescent="0.35">
      <c r="B19" s="70"/>
      <c r="C19" s="577"/>
      <c r="D19" s="555"/>
      <c r="E19" s="71" t="s">
        <v>27</v>
      </c>
      <c r="F19" s="412">
        <v>10</v>
      </c>
      <c r="G19" s="101">
        <f>D18/$F$12</f>
        <v>23733.261827236183</v>
      </c>
      <c r="H19" s="102">
        <f>D18/$F$13</f>
        <v>3983.0531928391174</v>
      </c>
      <c r="I19" s="330"/>
      <c r="J19" s="330"/>
      <c r="K19" s="330"/>
      <c r="L19" s="330"/>
      <c r="M19" s="77"/>
      <c r="N19" s="83" t="s">
        <v>113</v>
      </c>
    </row>
    <row r="20" spans="2:20"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20" s="85" customFormat="1" ht="27.75" x14ac:dyDescent="0.35">
      <c r="B21" s="83"/>
      <c r="C21" s="83" t="s">
        <v>122</v>
      </c>
      <c r="F21" s="86"/>
      <c r="N21" s="571"/>
      <c r="O21" s="571"/>
      <c r="P21" s="571"/>
      <c r="Q21" s="571"/>
      <c r="R21" s="422" t="s">
        <v>116</v>
      </c>
      <c r="S21" s="66"/>
      <c r="T21" s="66"/>
    </row>
    <row r="22" spans="2:20" ht="29.25" customHeight="1" x14ac:dyDescent="0.2">
      <c r="B22" s="79"/>
      <c r="C22" s="568" t="s">
        <v>106</v>
      </c>
      <c r="D22" s="568" t="s">
        <v>107</v>
      </c>
      <c r="E22" s="568" t="s">
        <v>23</v>
      </c>
      <c r="F22" s="568" t="s">
        <v>108</v>
      </c>
      <c r="G22" s="568" t="s">
        <v>123</v>
      </c>
      <c r="H22" s="568"/>
      <c r="I22" s="90"/>
      <c r="J22" s="90"/>
      <c r="K22" s="90"/>
      <c r="L22" s="90"/>
      <c r="M22" s="90"/>
      <c r="N22" s="606" t="s">
        <v>164</v>
      </c>
      <c r="O22" s="589">
        <f>INDEX('Health Data'!$K:$K,MATCH($C$2,'Health Data'!$B:$B,0))</f>
        <v>1.34</v>
      </c>
      <c r="P22" s="72" t="s">
        <v>103</v>
      </c>
      <c r="Q22" s="412">
        <v>10</v>
      </c>
      <c r="R22" s="101">
        <f>IFERROR(O22/Q10, "")</f>
        <v>432.25806451612908</v>
      </c>
    </row>
    <row r="23" spans="2:20" ht="32.25" customHeight="1" x14ac:dyDescent="0.2">
      <c r="B23" s="79"/>
      <c r="C23" s="582"/>
      <c r="D23" s="568"/>
      <c r="E23" s="568"/>
      <c r="F23" s="568"/>
      <c r="G23" s="413" t="s">
        <v>110</v>
      </c>
      <c r="H23" s="413" t="s">
        <v>111</v>
      </c>
      <c r="I23" s="90"/>
      <c r="J23" s="90"/>
      <c r="K23" s="90"/>
      <c r="L23" s="90"/>
      <c r="M23" s="90"/>
      <c r="N23" s="577"/>
      <c r="O23" s="590"/>
      <c r="P23" s="72" t="s">
        <v>27</v>
      </c>
      <c r="Q23" s="412">
        <v>10</v>
      </c>
      <c r="R23" s="101">
        <f>IFERROR(O22/Q11, "")</f>
        <v>1116.6666666666667</v>
      </c>
    </row>
    <row r="24" spans="2:20" ht="33" customHeight="1" x14ac:dyDescent="0.2">
      <c r="B24" s="79"/>
      <c r="C24" s="605" t="s">
        <v>165</v>
      </c>
      <c r="D24" s="580">
        <f>INDEX('Health Data'!$P:$P,MATCH($C$2,'Health Data'!$B:$B,0))</f>
        <v>3.2934931506849306E-2</v>
      </c>
      <c r="E24" s="72" t="s">
        <v>103</v>
      </c>
      <c r="F24" s="412">
        <v>30</v>
      </c>
      <c r="G24" s="419">
        <f>D24/$G$10</f>
        <v>281.38872186936317</v>
      </c>
      <c r="H24" s="419">
        <f>D24/$G$11</f>
        <v>43.581556359125805</v>
      </c>
      <c r="I24" s="96"/>
      <c r="J24" s="96"/>
      <c r="K24" s="96"/>
      <c r="L24" s="96"/>
      <c r="M24" s="77"/>
      <c r="N24" s="74"/>
      <c r="O24" s="75"/>
      <c r="P24" s="81"/>
      <c r="R24" s="77"/>
    </row>
    <row r="25" spans="2:20" ht="33" customHeight="1" x14ac:dyDescent="0.35">
      <c r="B25" s="79"/>
      <c r="C25" s="577"/>
      <c r="D25" s="555"/>
      <c r="E25" s="72" t="s">
        <v>27</v>
      </c>
      <c r="F25" s="412">
        <v>30</v>
      </c>
      <c r="G25" s="419">
        <f>D24/$G$12</f>
        <v>1179.4518310373794</v>
      </c>
      <c r="H25" s="419">
        <f>D24/$G$13</f>
        <v>197.94242424874702</v>
      </c>
      <c r="I25" s="96"/>
      <c r="J25" s="96"/>
      <c r="K25" s="96"/>
      <c r="L25" s="96"/>
      <c r="M25" s="77"/>
      <c r="N25" s="83" t="s">
        <v>125</v>
      </c>
      <c r="O25" s="85"/>
      <c r="P25" s="85"/>
      <c r="Q25" s="85"/>
      <c r="R25" s="85"/>
      <c r="S25" s="85"/>
      <c r="T25" s="85"/>
    </row>
    <row r="26" spans="2:20" ht="25.5" x14ac:dyDescent="0.2">
      <c r="B26" s="79"/>
      <c r="C26" s="80"/>
      <c r="D26" s="75"/>
      <c r="E26" s="81"/>
      <c r="F26" s="75"/>
      <c r="G26" s="77"/>
      <c r="H26" s="77"/>
      <c r="I26" s="77"/>
      <c r="J26" s="77"/>
      <c r="K26" s="77"/>
      <c r="L26" s="77"/>
      <c r="M26" s="77"/>
      <c r="N26" s="566" t="s">
        <v>106</v>
      </c>
      <c r="O26" s="566" t="s">
        <v>121</v>
      </c>
      <c r="P26" s="566" t="s">
        <v>23</v>
      </c>
      <c r="Q26" s="566" t="s">
        <v>108</v>
      </c>
      <c r="R26" s="411" t="s">
        <v>123</v>
      </c>
    </row>
    <row r="27" spans="2:20" ht="33" customHeight="1" x14ac:dyDescent="0.35">
      <c r="B27" s="79"/>
      <c r="C27" s="83" t="s">
        <v>126</v>
      </c>
      <c r="D27" s="85"/>
      <c r="E27" s="85"/>
      <c r="F27" s="85"/>
      <c r="G27" s="85"/>
      <c r="H27" s="85"/>
      <c r="I27" s="85"/>
      <c r="J27" s="85"/>
      <c r="K27" s="85"/>
      <c r="L27" s="85"/>
      <c r="M27" s="77"/>
      <c r="N27" s="581"/>
      <c r="O27" s="567"/>
      <c r="P27" s="567"/>
      <c r="Q27" s="567"/>
      <c r="R27" s="411" t="s">
        <v>116</v>
      </c>
    </row>
    <row r="28" spans="2:20" ht="33" customHeight="1" x14ac:dyDescent="0.2">
      <c r="B28" s="79"/>
      <c r="C28" s="582" t="s">
        <v>127</v>
      </c>
      <c r="D28" s="566" t="s">
        <v>128</v>
      </c>
      <c r="E28" s="566" t="s">
        <v>23</v>
      </c>
      <c r="F28" s="583" t="s">
        <v>129</v>
      </c>
      <c r="G28" s="568" t="s">
        <v>130</v>
      </c>
      <c r="H28" s="568"/>
      <c r="I28" s="90"/>
      <c r="J28" s="90"/>
      <c r="K28" s="90"/>
      <c r="L28" s="90"/>
      <c r="M28" s="77"/>
      <c r="N28" s="577" t="s">
        <v>166</v>
      </c>
      <c r="O28" s="580">
        <f>INDEX('Health Data'!$T:$T,MATCH($C$2,'Health Data'!$B:$B,0))</f>
        <v>4.8000000000000001E-2</v>
      </c>
      <c r="P28" s="72" t="s">
        <v>103</v>
      </c>
      <c r="Q28" s="412">
        <v>30</v>
      </c>
      <c r="R28" s="107">
        <f>IFERROR(O28/$R$10, "")</f>
        <v>22.857142857142858</v>
      </c>
    </row>
    <row r="29" spans="2:20" ht="33" customHeight="1" x14ac:dyDescent="0.2">
      <c r="B29" s="79"/>
      <c r="C29" s="530"/>
      <c r="D29" s="567"/>
      <c r="E29" s="567"/>
      <c r="F29" s="584"/>
      <c r="G29" s="413" t="s">
        <v>131</v>
      </c>
      <c r="H29" s="413" t="s">
        <v>28</v>
      </c>
      <c r="I29" s="90"/>
      <c r="J29" s="90"/>
      <c r="K29" s="90"/>
      <c r="L29" s="90"/>
      <c r="M29" s="77"/>
      <c r="N29" s="577"/>
      <c r="O29" s="555"/>
      <c r="P29" s="72" t="s">
        <v>27</v>
      </c>
      <c r="Q29" s="412">
        <v>30</v>
      </c>
      <c r="R29" s="107">
        <f>IFERROR(O28/$R$11, "")</f>
        <v>60.759493670886073</v>
      </c>
    </row>
    <row r="30" spans="2:20" ht="33" customHeight="1" x14ac:dyDescent="0.2">
      <c r="B30" s="79"/>
      <c r="C30" s="604" t="s">
        <v>167</v>
      </c>
      <c r="D30" s="574">
        <f>INDEX('Health Data'!$Y:$Y,MATCH($C$2,'Health Data'!$B:$B,0))</f>
        <v>2.1999999999999999E-2</v>
      </c>
      <c r="E30" s="71" t="s">
        <v>103</v>
      </c>
      <c r="F30" s="107">
        <v>1E-4</v>
      </c>
      <c r="G30" s="103">
        <f>H10*D30</f>
        <v>6.470446151632789E-7</v>
      </c>
      <c r="H30" s="403">
        <f>H11*D30</f>
        <v>4.1777089315701778E-6</v>
      </c>
      <c r="I30" s="331"/>
      <c r="J30" s="331"/>
      <c r="K30" s="331"/>
      <c r="L30" s="331"/>
      <c r="M30" s="77"/>
    </row>
    <row r="31" spans="2:20" ht="33" customHeight="1" x14ac:dyDescent="0.35">
      <c r="B31" s="79"/>
      <c r="C31" s="604"/>
      <c r="D31" s="575"/>
      <c r="E31" s="71" t="s">
        <v>27</v>
      </c>
      <c r="F31" s="107">
        <v>1E-4</v>
      </c>
      <c r="G31" s="105">
        <f>H12*D30</f>
        <v>1.1963614423079903E-7</v>
      </c>
      <c r="H31" s="403">
        <f>H13*D30</f>
        <v>7.1285915541756919E-7</v>
      </c>
      <c r="I31" s="331"/>
      <c r="J31" s="331"/>
      <c r="K31" s="331"/>
      <c r="L31" s="331"/>
      <c r="M31" s="77"/>
      <c r="N31" s="83" t="s">
        <v>126</v>
      </c>
      <c r="O31" s="85"/>
      <c r="P31" s="85"/>
      <c r="Q31" s="85"/>
      <c r="R31" s="85"/>
    </row>
    <row r="32" spans="2:20" ht="33" customHeight="1" x14ac:dyDescent="0.2">
      <c r="B32" s="79"/>
      <c r="I32" s="77"/>
      <c r="J32" s="77"/>
      <c r="K32" s="77"/>
      <c r="L32" s="77"/>
      <c r="M32" s="77"/>
      <c r="N32" s="566" t="s">
        <v>127</v>
      </c>
      <c r="O32" s="566" t="s">
        <v>133</v>
      </c>
      <c r="P32" s="566" t="s">
        <v>23</v>
      </c>
      <c r="Q32" s="566" t="s">
        <v>129</v>
      </c>
      <c r="R32" s="411" t="s">
        <v>130</v>
      </c>
    </row>
    <row r="33" spans="2:20" ht="33" customHeight="1" x14ac:dyDescent="0.35">
      <c r="B33" s="79"/>
      <c r="C33" s="83" t="s">
        <v>134</v>
      </c>
      <c r="I33" s="77"/>
      <c r="J33" s="77"/>
      <c r="K33" s="77"/>
      <c r="L33" s="77"/>
      <c r="M33" s="77"/>
      <c r="N33" s="567"/>
      <c r="O33" s="567"/>
      <c r="P33" s="567"/>
      <c r="Q33" s="567"/>
      <c r="R33" s="411" t="s">
        <v>135</v>
      </c>
    </row>
    <row r="34" spans="2:20" ht="33" customHeight="1" thickBot="1" x14ac:dyDescent="0.4">
      <c r="B34" s="79"/>
      <c r="C34" s="83"/>
      <c r="I34" s="77"/>
      <c r="J34" s="77"/>
      <c r="K34" s="77"/>
      <c r="L34" s="77"/>
      <c r="M34" s="77"/>
      <c r="N34" s="604" t="s">
        <v>167</v>
      </c>
      <c r="O34" s="574">
        <f>INDEX('Health Data'!$AB:$AB,MATCH($C$2,'Health Data'!$B:$B,0))</f>
        <v>4.6399999999999997E-2</v>
      </c>
      <c r="P34" s="71" t="s">
        <v>103</v>
      </c>
      <c r="Q34" s="561">
        <v>1E-4</v>
      </c>
      <c r="R34" s="107">
        <f>IFERROR(S10*O34, "")</f>
        <v>3.9903999999999996E-5</v>
      </c>
    </row>
    <row r="35" spans="2:20" ht="33" customHeight="1" x14ac:dyDescent="0.25">
      <c r="B35" s="79"/>
      <c r="C35" s="325" t="s">
        <v>136</v>
      </c>
      <c r="I35" s="77"/>
      <c r="J35" s="77"/>
      <c r="K35" s="77"/>
      <c r="L35" s="77"/>
      <c r="M35" s="77"/>
      <c r="N35" s="604"/>
      <c r="O35" s="575"/>
      <c r="P35" s="71" t="s">
        <v>27</v>
      </c>
      <c r="Q35" s="596"/>
      <c r="R35" s="107">
        <f>IFERROR(S11*O34, "")</f>
        <v>1.3456E-5</v>
      </c>
    </row>
    <row r="36" spans="2:20" ht="33" customHeight="1" thickBot="1" x14ac:dyDescent="0.3">
      <c r="B36" s="79"/>
      <c r="C36" s="326" t="s">
        <v>28</v>
      </c>
      <c r="I36" s="77"/>
      <c r="J36" s="77"/>
      <c r="K36" s="77"/>
      <c r="L36" s="77"/>
      <c r="M36" s="77"/>
    </row>
    <row r="37" spans="2:20" ht="33" customHeight="1" x14ac:dyDescent="0.35">
      <c r="B37" s="79"/>
      <c r="C37" s="317"/>
      <c r="I37" s="77"/>
      <c r="J37" s="77"/>
      <c r="K37" s="77"/>
      <c r="L37" s="77"/>
      <c r="M37" s="77"/>
      <c r="N37" s="83" t="s">
        <v>137</v>
      </c>
    </row>
    <row r="38" spans="2:20" ht="33" customHeight="1" thickBot="1" x14ac:dyDescent="0.25">
      <c r="B38" s="79"/>
      <c r="I38" s="77"/>
      <c r="J38" s="77"/>
      <c r="K38" s="77"/>
      <c r="L38" s="77"/>
      <c r="M38" s="77"/>
    </row>
    <row r="39" spans="2:20" ht="33" customHeight="1" x14ac:dyDescent="0.2">
      <c r="B39" s="548" t="s">
        <v>138</v>
      </c>
      <c r="C39" s="540" t="s">
        <v>107</v>
      </c>
      <c r="D39" s="540" t="s">
        <v>23</v>
      </c>
      <c r="E39" s="540" t="s">
        <v>108</v>
      </c>
      <c r="F39" s="540" t="str">
        <f>_xlfn.CONCAT("Exposure Estimates: ",$C$42," MOE")</f>
        <v>Exposure Estimates:  MOE</v>
      </c>
      <c r="G39" s="540"/>
      <c r="H39" s="540"/>
      <c r="I39" s="540"/>
      <c r="J39" s="540"/>
      <c r="K39" s="542"/>
      <c r="L39" s="90"/>
      <c r="M39" s="77"/>
      <c r="N39" s="532" t="s">
        <v>121</v>
      </c>
      <c r="O39" s="540" t="s">
        <v>23</v>
      </c>
      <c r="P39" s="540" t="s">
        <v>108</v>
      </c>
      <c r="Q39" s="540" t="str">
        <f>_xlfn.CONCAT("Exposure Estimates: ",$C$42," MOE")</f>
        <v>Exposure Estimates:  MOE</v>
      </c>
      <c r="R39" s="540"/>
      <c r="S39" s="540"/>
      <c r="T39" s="542"/>
    </row>
    <row r="40" spans="2:20" ht="33" customHeight="1" thickBot="1" x14ac:dyDescent="0.25">
      <c r="B40" s="549"/>
      <c r="C40" s="541"/>
      <c r="D40" s="541"/>
      <c r="E40" s="541"/>
      <c r="F40" s="416" t="s">
        <v>139</v>
      </c>
      <c r="G40" s="416" t="s">
        <v>34</v>
      </c>
      <c r="H40" s="416" t="s">
        <v>35</v>
      </c>
      <c r="I40" s="416" t="s">
        <v>32</v>
      </c>
      <c r="J40" s="416" t="s">
        <v>140</v>
      </c>
      <c r="K40" s="290" t="s">
        <v>31</v>
      </c>
      <c r="L40" s="90"/>
      <c r="M40" s="77"/>
      <c r="N40" s="533"/>
      <c r="O40" s="541"/>
      <c r="P40" s="541"/>
      <c r="Q40" s="318" t="s">
        <v>135</v>
      </c>
      <c r="R40" s="318" t="s">
        <v>33</v>
      </c>
      <c r="S40" s="318" t="s">
        <v>141</v>
      </c>
      <c r="T40" s="319" t="s">
        <v>142</v>
      </c>
    </row>
    <row r="41" spans="2:20" ht="33" customHeight="1" x14ac:dyDescent="0.2">
      <c r="B41" s="550" t="s">
        <v>143</v>
      </c>
      <c r="C41" s="555">
        <f>INDEX('Health Data'!$G:$G,MATCH($C$2,'Health Data'!$B:$B,0))</f>
        <v>0.96757990867579902</v>
      </c>
      <c r="D41" s="292" t="s">
        <v>103</v>
      </c>
      <c r="E41" s="421">
        <v>10</v>
      </c>
      <c r="F41" s="304">
        <f>IFERROR($C41/IF($C$36="Worker",$F$10,$F$11), "")</f>
        <v>876.9603477573495</v>
      </c>
      <c r="G41" s="305">
        <f>IFERROR($F41*'List Values'!$B$9, "")</f>
        <v>8769.6034775734952</v>
      </c>
      <c r="H41" s="305">
        <f>IFERROR($F41*'List Values'!$B$10, "")</f>
        <v>21924.008693933738</v>
      </c>
      <c r="I41" s="305">
        <f>IFERROR($F41*'List Values'!$B$11, "")</f>
        <v>43848.017387867476</v>
      </c>
      <c r="J41" s="305">
        <f>IFERROR($F41*'List Values'!$B$12, "")</f>
        <v>876960.34775734949</v>
      </c>
      <c r="K41" s="306">
        <f>IFERROR($F41*'List Values'!$B$13, "")</f>
        <v>8769603.4775734954</v>
      </c>
      <c r="L41" s="330"/>
      <c r="M41" s="77"/>
      <c r="N41" s="534">
        <f>INDEX('Health Data'!$K:$K,MATCH($C$2,'Health Data'!$B:$B,0))</f>
        <v>1.34</v>
      </c>
      <c r="O41" s="292" t="s">
        <v>103</v>
      </c>
      <c r="P41" s="421">
        <v>10</v>
      </c>
      <c r="Q41" s="305">
        <f>IFERROR($N41/Q$10, "")</f>
        <v>432.25806451612908</v>
      </c>
      <c r="R41" s="305">
        <f>IFERROR($N41/$Q$12, "")</f>
        <v>2161.2903225806454</v>
      </c>
      <c r="S41" s="305">
        <f>IFERROR($N41/$Q$14, "")</f>
        <v>4322.5806451612907</v>
      </c>
      <c r="T41" s="306">
        <f>IFERROR($N41/$Q$16, "")</f>
        <v>8645.1612903225814</v>
      </c>
    </row>
    <row r="42" spans="2:20" ht="33" customHeight="1" thickBot="1" x14ac:dyDescent="0.25">
      <c r="B42" s="551"/>
      <c r="C42" s="556"/>
      <c r="D42" s="293" t="s">
        <v>27</v>
      </c>
      <c r="E42" s="418">
        <v>10</v>
      </c>
      <c r="F42" s="303">
        <f>IFERROR($C41/IF($C$36="Worker",$F$12,$F$13), "")</f>
        <v>3983.0531928391174</v>
      </c>
      <c r="G42" s="303">
        <f>IFERROR($F42*'List Values'!$B$9, "")</f>
        <v>39830.531928391174</v>
      </c>
      <c r="H42" s="303">
        <f>IFERROR($F42*'List Values'!$B$10, "")</f>
        <v>99576.329820977931</v>
      </c>
      <c r="I42" s="303">
        <f>IFERROR($F42*'List Values'!$B$11, "")</f>
        <v>199152.65964195586</v>
      </c>
      <c r="J42" s="303">
        <f>IFERROR($F42*'List Values'!$B$12, "")</f>
        <v>3983053.1928391173</v>
      </c>
      <c r="K42" s="307">
        <f>IFERROR($F42*'List Values'!$B$13, "")</f>
        <v>39830531.928391173</v>
      </c>
      <c r="L42" s="330"/>
      <c r="M42" s="77"/>
      <c r="N42" s="535"/>
      <c r="O42" s="293" t="s">
        <v>27</v>
      </c>
      <c r="P42" s="418">
        <v>10</v>
      </c>
      <c r="Q42" s="321">
        <f>IFERROR($N41/$Q$11, "")</f>
        <v>1116.6666666666667</v>
      </c>
      <c r="R42" s="321">
        <f>IFERROR($N41/$Q$13, "")</f>
        <v>5583.3333333333339</v>
      </c>
      <c r="S42" s="321">
        <f>IFERROR($N41/$Q$15, "")</f>
        <v>11166.666666666668</v>
      </c>
      <c r="T42" s="322">
        <f>IFERROR($N41/$Q$17, "")</f>
        <v>22333.333333333336</v>
      </c>
    </row>
    <row r="43" spans="2:20" ht="33" customHeight="1" x14ac:dyDescent="0.2">
      <c r="B43" s="553" t="s">
        <v>145</v>
      </c>
      <c r="C43" s="555">
        <f>INDEX('Health Data'!$P:$P,MATCH($C$2,'Health Data'!$B:$B,0))</f>
        <v>3.2934931506849306E-2</v>
      </c>
      <c r="D43" s="292" t="s">
        <v>103</v>
      </c>
      <c r="E43" s="421">
        <v>30</v>
      </c>
      <c r="F43" s="304">
        <f>IFERROR($C43/IF($C$36="Worker",$G$10,$G$11), "")</f>
        <v>43.581556359125805</v>
      </c>
      <c r="G43" s="305">
        <f>IFERROR($F43*'List Values'!$B$9, "")</f>
        <v>435.81556359125807</v>
      </c>
      <c r="H43" s="305">
        <f>IFERROR($F43*'List Values'!$B$10, "")</f>
        <v>1089.5389089781452</v>
      </c>
      <c r="I43" s="305">
        <f>IFERROR($F43*'List Values'!$B$11, "")</f>
        <v>2179.0778179562903</v>
      </c>
      <c r="J43" s="305">
        <f>IFERROR($F43*'List Values'!$B$12, "")</f>
        <v>43581.556359125803</v>
      </c>
      <c r="K43" s="306">
        <f>IFERROR($F43*'List Values'!$B$13, "")</f>
        <v>435815.56359125808</v>
      </c>
      <c r="L43" s="330"/>
      <c r="M43" s="77"/>
      <c r="N43" s="534">
        <f>INDEX('Health Data'!$T:$T,MATCH($C$2,'Health Data'!$B:$B,0))</f>
        <v>4.8000000000000001E-2</v>
      </c>
      <c r="O43" s="292" t="s">
        <v>103</v>
      </c>
      <c r="P43" s="421">
        <v>30</v>
      </c>
      <c r="Q43" s="323">
        <f>IFERROR($N$43/$R$10, "")</f>
        <v>22.857142857142858</v>
      </c>
      <c r="R43" s="323">
        <f>IFERROR($N$43/$R$12, "")</f>
        <v>114.28571428571429</v>
      </c>
      <c r="S43" s="323">
        <f>IFERROR($N$43/$R$14, "")</f>
        <v>228.57142857142858</v>
      </c>
      <c r="T43" s="323">
        <f>IFERROR($N$43/$R$16, "")</f>
        <v>457.14285714285717</v>
      </c>
    </row>
    <row r="44" spans="2:20" ht="33" customHeight="1" thickBot="1" x14ac:dyDescent="0.25">
      <c r="B44" s="554"/>
      <c r="C44" s="556"/>
      <c r="D44" s="293" t="s">
        <v>27</v>
      </c>
      <c r="E44" s="418">
        <v>30</v>
      </c>
      <c r="F44" s="303">
        <f>IFERROR($C43/IF($C$36="Worker",$G$12,$G$13), "")</f>
        <v>197.94242424874702</v>
      </c>
      <c r="G44" s="303">
        <f>IFERROR($F44*'List Values'!$B$9, "")</f>
        <v>1979.4242424874701</v>
      </c>
      <c r="H44" s="303">
        <f>IFERROR($F44*'List Values'!$B$10, "")</f>
        <v>4948.5606062186753</v>
      </c>
      <c r="I44" s="303">
        <f>IFERROR($F44*'List Values'!$B$11, "")</f>
        <v>9897.1212124373506</v>
      </c>
      <c r="J44" s="303">
        <f>IFERROR($F44*'List Values'!$B$12, "")</f>
        <v>197942.424248747</v>
      </c>
      <c r="K44" s="307">
        <f>IFERROR($F44*'List Values'!$B$13, "")</f>
        <v>1979424.2424874702</v>
      </c>
      <c r="L44" s="330"/>
      <c r="M44" s="77"/>
      <c r="N44" s="603"/>
      <c r="O44" s="320" t="s">
        <v>27</v>
      </c>
      <c r="P44" s="420">
        <v>30</v>
      </c>
      <c r="Q44" s="323">
        <f>IFERROR($N$43/$R$11, "")</f>
        <v>60.759493670886073</v>
      </c>
      <c r="R44" s="323">
        <f>IFERROR($N$43/$R$13, "")</f>
        <v>303.79746835443041</v>
      </c>
      <c r="S44" s="323">
        <f>IFERROR($N$43/$R$15, "")</f>
        <v>607.59493670886081</v>
      </c>
      <c r="T44" s="323">
        <f>IFERROR($N$43/$R$17, "")</f>
        <v>1215.1898734177216</v>
      </c>
    </row>
    <row r="45" spans="2:20" ht="33" customHeight="1" x14ac:dyDescent="0.2">
      <c r="B45" s="294"/>
      <c r="C45" s="547" t="s">
        <v>146</v>
      </c>
      <c r="D45" s="530" t="s">
        <v>23</v>
      </c>
      <c r="E45" s="530" t="s">
        <v>108</v>
      </c>
      <c r="F45" s="530" t="str">
        <f>_xlfn.CONCAT("Exposure Estimates: ",$C$42," MOE")</f>
        <v>Exposure Estimates:  MOE</v>
      </c>
      <c r="G45" s="530"/>
      <c r="H45" s="530"/>
      <c r="I45" s="530"/>
      <c r="J45" s="530"/>
      <c r="K45" s="531"/>
      <c r="L45" s="90"/>
      <c r="M45" s="77"/>
      <c r="N45" s="532" t="s">
        <v>147</v>
      </c>
      <c r="O45" s="540" t="s">
        <v>23</v>
      </c>
      <c r="P45" s="540" t="s">
        <v>108</v>
      </c>
      <c r="Q45" s="540" t="str">
        <f>_xlfn.CONCAT("Exposure Estimates: ",$I$4," MOE")</f>
        <v>Exposure Estimates:  MOE</v>
      </c>
      <c r="R45" s="540"/>
      <c r="S45" s="540"/>
      <c r="T45" s="542"/>
    </row>
    <row r="46" spans="2:20" ht="33" customHeight="1" thickBot="1" x14ac:dyDescent="0.25">
      <c r="B46" s="294"/>
      <c r="C46" s="533"/>
      <c r="D46" s="541"/>
      <c r="E46" s="541"/>
      <c r="F46" s="416" t="s">
        <v>139</v>
      </c>
      <c r="G46" s="416" t="s">
        <v>34</v>
      </c>
      <c r="H46" s="416" t="s">
        <v>35</v>
      </c>
      <c r="I46" s="416" t="s">
        <v>32</v>
      </c>
      <c r="J46" s="416" t="s">
        <v>140</v>
      </c>
      <c r="K46" s="290" t="s">
        <v>31</v>
      </c>
      <c r="L46" s="90"/>
      <c r="M46" s="77"/>
      <c r="N46" s="533"/>
      <c r="O46" s="541"/>
      <c r="P46" s="541"/>
      <c r="Q46" s="318" t="s">
        <v>135</v>
      </c>
      <c r="R46" s="318" t="s">
        <v>33</v>
      </c>
      <c r="S46" s="318" t="s">
        <v>141</v>
      </c>
      <c r="T46" s="319" t="s">
        <v>142</v>
      </c>
    </row>
    <row r="47" spans="2:20" ht="33" customHeight="1" x14ac:dyDescent="0.2">
      <c r="B47" s="545" t="s">
        <v>148</v>
      </c>
      <c r="C47" s="599">
        <f>INDEX('Health Data'!$Y:$Y,MATCH($C$2,'Health Data'!$B:$B,0))</f>
        <v>2.1999999999999999E-2</v>
      </c>
      <c r="D47" s="299" t="s">
        <v>103</v>
      </c>
      <c r="E47" s="334">
        <v>1E-4</v>
      </c>
      <c r="F47" s="340">
        <f>IFERROR($C47*IF($C$36="Worker",$H$10,$H$11), "")</f>
        <v>4.1777089315701778E-6</v>
      </c>
      <c r="G47" s="341">
        <f>IFERROR($F47/'List Values'!$B$9, "")</f>
        <v>4.177708931570178E-7</v>
      </c>
      <c r="H47" s="341">
        <f>IFERROR($F47/'List Values'!$B$10, "")</f>
        <v>1.671083572628071E-7</v>
      </c>
      <c r="I47" s="341">
        <f>IFERROR($F47/'List Values'!$B$11, "")</f>
        <v>8.355417863140355E-8</v>
      </c>
      <c r="J47" s="341">
        <f>IFERROR($F47/'List Values'!$B$12, "")</f>
        <v>4.1777089315701778E-9</v>
      </c>
      <c r="K47" s="342">
        <f>IFERROR($F47/'List Values'!$B$13, "")</f>
        <v>4.1777089315701776E-10</v>
      </c>
      <c r="L47" s="333"/>
      <c r="M47" s="77"/>
      <c r="N47" s="600">
        <f>INDEX('Health Data'!$AB:$AB,MATCH($C$2,'Health Data'!$B:$B,0))</f>
        <v>4.6399999999999997E-2</v>
      </c>
      <c r="O47" s="299" t="s">
        <v>103</v>
      </c>
      <c r="P47" s="601">
        <v>1E-4</v>
      </c>
      <c r="Q47" s="301">
        <f>IFERROR($N$47*$S10, "")</f>
        <v>3.9903999999999996E-5</v>
      </c>
      <c r="R47" s="301">
        <f>IFERROR($N$47*$S12, "")</f>
        <v>7.9807999999999999E-6</v>
      </c>
      <c r="S47" s="301">
        <f>IFERROR($N$47*$S14, "")</f>
        <v>3.9903999999999999E-6</v>
      </c>
      <c r="T47" s="301">
        <f>IFERROR($N$47*$S16, "")</f>
        <v>1.9952E-6</v>
      </c>
    </row>
    <row r="48" spans="2:20" ht="33" customHeight="1" thickBot="1" x14ac:dyDescent="0.25">
      <c r="B48" s="546"/>
      <c r="C48" s="544"/>
      <c r="D48" s="293" t="s">
        <v>27</v>
      </c>
      <c r="E48" s="335">
        <v>1E-4</v>
      </c>
      <c r="F48" s="337">
        <f>IFERROR($C47*IF($C$36="Worker",$H$12,$H$13), "")</f>
        <v>7.1285915541756919E-7</v>
      </c>
      <c r="G48" s="338">
        <f>IFERROR($F48/'List Values'!$B$9, "")</f>
        <v>7.1285915541756916E-8</v>
      </c>
      <c r="H48" s="338">
        <f>IFERROR($F48/'List Values'!$B$10, "")</f>
        <v>2.8514366216702769E-8</v>
      </c>
      <c r="I48" s="338">
        <f>IFERROR($F48/'List Values'!$B$11, "")</f>
        <v>1.4257183108351385E-8</v>
      </c>
      <c r="J48" s="338">
        <f>IFERROR($F48/'List Values'!$B$12, "")</f>
        <v>7.1285915541756917E-10</v>
      </c>
      <c r="K48" s="339">
        <f>IFERROR($F48/'List Values'!$B$13, "")</f>
        <v>7.1285915541756922E-11</v>
      </c>
      <c r="L48" s="333"/>
      <c r="M48" s="77"/>
      <c r="N48" s="564"/>
      <c r="O48" s="293" t="s">
        <v>27</v>
      </c>
      <c r="P48" s="602"/>
      <c r="Q48" s="321">
        <f>IFERROR($N$47*$S11, "")</f>
        <v>1.3456E-5</v>
      </c>
      <c r="R48" s="321">
        <f>IFERROR($N$47*$S13, "")</f>
        <v>2.6911999999999997E-6</v>
      </c>
      <c r="S48" s="321">
        <f>IFERROR($N$47*$S15, "")</f>
        <v>1.3455999999999999E-6</v>
      </c>
      <c r="T48" s="321">
        <f>IFERROR($N$47*$S17, "")</f>
        <v>6.7279999999999994E-7</v>
      </c>
    </row>
    <row r="49" spans="2:19" ht="33" customHeight="1" x14ac:dyDescent="0.2">
      <c r="B49" s="79"/>
      <c r="M49" s="77"/>
    </row>
    <row r="50" spans="2:19" ht="33" customHeight="1" x14ac:dyDescent="0.2">
      <c r="B50" s="79"/>
      <c r="M50" s="77"/>
    </row>
    <row r="51" spans="2:19" ht="33" customHeight="1" x14ac:dyDescent="0.2">
      <c r="B51" s="79"/>
      <c r="M51" s="77"/>
    </row>
    <row r="52" spans="2:19" ht="33" customHeight="1" x14ac:dyDescent="0.2">
      <c r="B52" s="79"/>
      <c r="M52" s="77"/>
    </row>
    <row r="53" spans="2:19" ht="33" customHeight="1" x14ac:dyDescent="0.2">
      <c r="B53" s="79"/>
      <c r="M53" s="77"/>
    </row>
    <row r="54" spans="2:19" ht="33" customHeight="1" x14ac:dyDescent="0.2">
      <c r="B54" s="79"/>
      <c r="M54" s="77"/>
    </row>
    <row r="55" spans="2:19" s="85" customFormat="1" ht="21" x14ac:dyDescent="0.35">
      <c r="C55" s="66"/>
      <c r="D55" s="66"/>
      <c r="E55" s="66"/>
      <c r="F55" s="66"/>
      <c r="G55" s="66"/>
      <c r="H55" s="66"/>
      <c r="I55" s="66"/>
      <c r="J55" s="66"/>
      <c r="K55" s="66"/>
      <c r="L55" s="66"/>
      <c r="O55" s="66"/>
      <c r="P55" s="66"/>
      <c r="Q55" s="66"/>
      <c r="R55" s="66"/>
      <c r="S55" s="66"/>
    </row>
    <row r="56" spans="2:19" ht="25.5" customHeight="1" x14ac:dyDescent="0.2">
      <c r="B56" s="82"/>
      <c r="M56" s="90"/>
    </row>
    <row r="57" spans="2:19" ht="14.45" customHeight="1" x14ac:dyDescent="0.2">
      <c r="B57" s="82"/>
      <c r="M57" s="90"/>
    </row>
    <row r="58" spans="2:19" x14ac:dyDescent="0.2">
      <c r="B58" s="82"/>
      <c r="M58" s="89"/>
    </row>
    <row r="59" spans="2:19" x14ac:dyDescent="0.2">
      <c r="B59" s="82"/>
      <c r="M59" s="89"/>
    </row>
    <row r="63" spans="2:19" ht="29.1" customHeight="1" x14ac:dyDescent="0.2"/>
  </sheetData>
  <sheetProtection sheet="1" objects="1" scenarios="1" formatCells="0" formatColumns="0" formatRows="0"/>
  <mergeCells count="77">
    <mergeCell ref="C8:C9"/>
    <mergeCell ref="D8:D9"/>
    <mergeCell ref="N8:N9"/>
    <mergeCell ref="O8:O9"/>
    <mergeCell ref="D10:D11"/>
    <mergeCell ref="N10:N11"/>
    <mergeCell ref="Q20:Q21"/>
    <mergeCell ref="D12:D13"/>
    <mergeCell ref="N12:N13"/>
    <mergeCell ref="N14:N15"/>
    <mergeCell ref="C16:C17"/>
    <mergeCell ref="D16:D17"/>
    <mergeCell ref="E16:E17"/>
    <mergeCell ref="F16:F17"/>
    <mergeCell ref="G16:H16"/>
    <mergeCell ref="N16:N17"/>
    <mergeCell ref="C18:C19"/>
    <mergeCell ref="D18:D19"/>
    <mergeCell ref="N20:N21"/>
    <mergeCell ref="O20:O21"/>
    <mergeCell ref="P20:P21"/>
    <mergeCell ref="O22:O23"/>
    <mergeCell ref="C24:C25"/>
    <mergeCell ref="D24:D25"/>
    <mergeCell ref="N26:N27"/>
    <mergeCell ref="O26:O27"/>
    <mergeCell ref="C22:C23"/>
    <mergeCell ref="D22:D23"/>
    <mergeCell ref="E22:E23"/>
    <mergeCell ref="F22:F23"/>
    <mergeCell ref="G22:H22"/>
    <mergeCell ref="N22:N23"/>
    <mergeCell ref="Q32:Q33"/>
    <mergeCell ref="Q26:Q27"/>
    <mergeCell ref="C28:C29"/>
    <mergeCell ref="D28:D29"/>
    <mergeCell ref="E28:E29"/>
    <mergeCell ref="F28:F29"/>
    <mergeCell ref="G28:H28"/>
    <mergeCell ref="N28:N29"/>
    <mergeCell ref="O28:O29"/>
    <mergeCell ref="P26:P27"/>
    <mergeCell ref="C30:C31"/>
    <mergeCell ref="D30:D31"/>
    <mergeCell ref="N32:N33"/>
    <mergeCell ref="O32:O33"/>
    <mergeCell ref="P32:P33"/>
    <mergeCell ref="Q34:Q35"/>
    <mergeCell ref="B39:B40"/>
    <mergeCell ref="C39:C40"/>
    <mergeCell ref="D39:D40"/>
    <mergeCell ref="E39:E40"/>
    <mergeCell ref="F39:K39"/>
    <mergeCell ref="N39:N40"/>
    <mergeCell ref="O39:O40"/>
    <mergeCell ref="P39:P40"/>
    <mergeCell ref="Q39:T39"/>
    <mergeCell ref="B43:B44"/>
    <mergeCell ref="C43:C44"/>
    <mergeCell ref="N43:N44"/>
    <mergeCell ref="N34:N35"/>
    <mergeCell ref="O34:O35"/>
    <mergeCell ref="B41:B42"/>
    <mergeCell ref="C41:C42"/>
    <mergeCell ref="N41:N42"/>
    <mergeCell ref="P45:P46"/>
    <mergeCell ref="Q45:T45"/>
    <mergeCell ref="B47:B48"/>
    <mergeCell ref="C47:C48"/>
    <mergeCell ref="N47:N48"/>
    <mergeCell ref="P47:P48"/>
    <mergeCell ref="C45:C46"/>
    <mergeCell ref="D45:D46"/>
    <mergeCell ref="E45:E46"/>
    <mergeCell ref="F45:K45"/>
    <mergeCell ref="N45:N46"/>
    <mergeCell ref="O45:O46"/>
  </mergeCells>
  <conditionalFormatting sqref="E10:L13">
    <cfRule type="cellIs" dxfId="846" priority="23" operator="greaterThan">
      <formula>10</formula>
    </cfRule>
    <cfRule type="cellIs" dxfId="845" priority="17" operator="lessThanOrEqual">
      <formula>0.1</formula>
    </cfRule>
    <cfRule type="containsBlanks" dxfId="844" priority="18" stopIfTrue="1">
      <formula>LEN(TRIM(E10))=0</formula>
    </cfRule>
    <cfRule type="cellIs" dxfId="843" priority="19" operator="equal">
      <formula>0</formula>
    </cfRule>
    <cfRule type="cellIs" dxfId="842" priority="13" operator="greaterThanOrEqual">
      <formula>10000</formula>
    </cfRule>
    <cfRule type="cellIs" dxfId="841" priority="20" operator="lessThan">
      <formula>0.1</formula>
    </cfRule>
    <cfRule type="cellIs" dxfId="840" priority="21" operator="between">
      <formula>0.1</formula>
      <formula>0.999</formula>
    </cfRule>
    <cfRule type="cellIs" dxfId="839" priority="22" operator="between">
      <formula>1</formula>
      <formula>10</formula>
    </cfRule>
    <cfRule type="cellIs" dxfId="838" priority="24" operator="greaterThan">
      <formula>10000</formula>
    </cfRule>
    <cfRule type="cellIs" dxfId="837" priority="14" operator="greaterThanOrEqual">
      <formula>10</formula>
    </cfRule>
    <cfRule type="cellIs" dxfId="836" priority="15" operator="between">
      <formula>1</formula>
      <formula>9.999</formula>
    </cfRule>
    <cfRule type="cellIs" dxfId="835" priority="16" operator="between">
      <formula>0.1</formula>
      <formula>0.999</formula>
    </cfRule>
  </conditionalFormatting>
  <conditionalFormatting sqref="F41:K42">
    <cfRule type="cellIs" dxfId="834" priority="69" operator="greaterThanOrEqual">
      <formula>$E$41</formula>
    </cfRule>
    <cfRule type="cellIs" dxfId="833" priority="70" operator="lessThan">
      <formula>$E$43</formula>
    </cfRule>
  </conditionalFormatting>
  <conditionalFormatting sqref="F43:K44">
    <cfRule type="cellIs" dxfId="832" priority="67" operator="greaterThanOrEqual">
      <formula>$E$43</formula>
    </cfRule>
    <cfRule type="cellIs" dxfId="831" priority="68" operator="lessThan">
      <formula>$E$43</formula>
    </cfRule>
  </conditionalFormatting>
  <conditionalFormatting sqref="F48:K48">
    <cfRule type="cellIs" dxfId="830" priority="49" operator="between">
      <formula>1</formula>
      <formula>9.999</formula>
    </cfRule>
    <cfRule type="cellIs" dxfId="829" priority="50" operator="between">
      <formula>0.1</formula>
      <formula>0.999</formula>
    </cfRule>
    <cfRule type="containsBlanks" dxfId="828" priority="51" stopIfTrue="1">
      <formula>LEN(TRIM(F48))=0</formula>
    </cfRule>
    <cfRule type="cellIs" dxfId="827" priority="52" operator="greaterThanOrEqual">
      <formula>0.0001</formula>
    </cfRule>
  </conditionalFormatting>
  <conditionalFormatting sqref="F41:L44">
    <cfRule type="cellIs" dxfId="826" priority="61" operator="greaterThanOrEqual">
      <formula>10000</formula>
    </cfRule>
    <cfRule type="cellIs" dxfId="825" priority="62" operator="greaterThanOrEqual">
      <formula>10</formula>
    </cfRule>
    <cfRule type="cellIs" dxfId="824" priority="64" operator="between">
      <formula>0.1</formula>
      <formula>0.999</formula>
    </cfRule>
    <cfRule type="cellIs" dxfId="823" priority="65" operator="lessThanOrEqual">
      <formula>0.1</formula>
    </cfRule>
    <cfRule type="containsBlanks" dxfId="822" priority="66" stopIfTrue="1">
      <formula>LEN(TRIM(F41))=0</formula>
    </cfRule>
    <cfRule type="cellIs" dxfId="821" priority="63" operator="between">
      <formula>1</formula>
      <formula>9.999</formula>
    </cfRule>
  </conditionalFormatting>
  <conditionalFormatting sqref="F47:L47">
    <cfRule type="containsBlanks" dxfId="820" priority="76" stopIfTrue="1">
      <formula>LEN(TRIM(F47))=0</formula>
    </cfRule>
    <cfRule type="cellIs" dxfId="819" priority="74" operator="between">
      <formula>0.1</formula>
      <formula>0.999</formula>
    </cfRule>
    <cfRule type="cellIs" dxfId="818" priority="73" operator="between">
      <formula>1</formula>
      <formula>9.999</formula>
    </cfRule>
    <cfRule type="cellIs" dxfId="817" priority="77" operator="greaterThanOrEqual">
      <formula>0.0001</formula>
    </cfRule>
  </conditionalFormatting>
  <conditionalFormatting sqref="F47:L48">
    <cfRule type="cellIs" dxfId="816" priority="71" operator="greaterThanOrEqual">
      <formula>10000</formula>
    </cfRule>
    <cfRule type="cellIs" dxfId="815" priority="72" operator="greaterThanOrEqual">
      <formula>10</formula>
    </cfRule>
  </conditionalFormatting>
  <conditionalFormatting sqref="F48:L48">
    <cfRule type="cellIs" dxfId="814" priority="75" operator="lessThanOrEqual">
      <formula>0.1</formula>
    </cfRule>
  </conditionalFormatting>
  <conditionalFormatting sqref="G18:L19 G24:L25">
    <cfRule type="cellIs" dxfId="813" priority="118" operator="greaterThanOrEqual">
      <formula>10000</formula>
    </cfRule>
    <cfRule type="cellIs" dxfId="812" priority="124" operator="lessThan">
      <formula>$F18</formula>
    </cfRule>
    <cfRule type="cellIs" dxfId="811" priority="119" operator="greaterThanOrEqual">
      <formula>10</formula>
    </cfRule>
    <cfRule type="cellIs" dxfId="810" priority="120" operator="between">
      <formula>1</formula>
      <formula>9.999</formula>
    </cfRule>
    <cfRule type="cellIs" dxfId="809" priority="121" operator="between">
      <formula>0.1</formula>
      <formula>0.999</formula>
    </cfRule>
    <cfRule type="cellIs" dxfId="808" priority="122" operator="lessThanOrEqual">
      <formula>0.1</formula>
    </cfRule>
    <cfRule type="containsBlanks" dxfId="807" priority="123" stopIfTrue="1">
      <formula>LEN(TRIM(G18))=0</formula>
    </cfRule>
  </conditionalFormatting>
  <conditionalFormatting sqref="G30:L31 R34:R35">
    <cfRule type="cellIs" dxfId="806" priority="117" operator="greaterThan">
      <formula>0.0001</formula>
    </cfRule>
  </conditionalFormatting>
  <conditionalFormatting sqref="G30:L31">
    <cfRule type="cellIs" dxfId="805" priority="113" operator="between">
      <formula>0.1</formula>
      <formula>0.999</formula>
    </cfRule>
    <cfRule type="cellIs" dxfId="804" priority="110" operator="greaterThanOrEqual">
      <formula>10000</formula>
    </cfRule>
    <cfRule type="cellIs" dxfId="803" priority="112" operator="between">
      <formula>1</formula>
      <formula>9.999</formula>
    </cfRule>
    <cfRule type="cellIs" dxfId="802" priority="114" operator="lessThanOrEqual">
      <formula>0.1</formula>
    </cfRule>
    <cfRule type="containsBlanks" dxfId="801" priority="115" stopIfTrue="1">
      <formula>LEN(TRIM(G30))=0</formula>
    </cfRule>
    <cfRule type="cellIs" dxfId="800" priority="116" operator="equal">
      <formula>0</formula>
    </cfRule>
    <cfRule type="cellIs" dxfId="799" priority="111" operator="greaterThanOrEqual">
      <formula>10</formula>
    </cfRule>
  </conditionalFormatting>
  <conditionalFormatting sqref="L41:L42">
    <cfRule type="cellIs" dxfId="798" priority="89" operator="greaterThanOrEqual">
      <formula>$E$45</formula>
    </cfRule>
    <cfRule type="cellIs" dxfId="797" priority="90" operator="lessThan">
      <formula>$E$45</formula>
    </cfRule>
  </conditionalFormatting>
  <conditionalFormatting sqref="L43:L44">
    <cfRule type="cellIs" dxfId="796" priority="87" operator="greaterThanOrEqual">
      <formula>$E$49</formula>
    </cfRule>
    <cfRule type="cellIs" dxfId="795" priority="88" operator="lessThan">
      <formula>$E$49</formula>
    </cfRule>
  </conditionalFormatting>
  <conditionalFormatting sqref="L47">
    <cfRule type="cellIs" dxfId="794" priority="85" operator="between">
      <formula>0.00001</formula>
      <formula>0.0001</formula>
    </cfRule>
    <cfRule type="cellIs" dxfId="793" priority="86" operator="between">
      <formula>0.000001</formula>
      <formula>0.00001</formula>
    </cfRule>
  </conditionalFormatting>
  <conditionalFormatting sqref="P10:S17">
    <cfRule type="cellIs" dxfId="792" priority="11" operator="greaterThan">
      <formula>10</formula>
    </cfRule>
    <cfRule type="cellIs" dxfId="791" priority="12" operator="greaterThan">
      <formula>10000</formula>
    </cfRule>
    <cfRule type="cellIs" dxfId="790" priority="1" operator="greaterThanOrEqual">
      <formula>10000</formula>
    </cfRule>
    <cfRule type="cellIs" dxfId="789" priority="2" operator="greaterThanOrEqual">
      <formula>10</formula>
    </cfRule>
    <cfRule type="cellIs" dxfId="788" priority="3" operator="between">
      <formula>1</formula>
      <formula>9.999</formula>
    </cfRule>
    <cfRule type="cellIs" dxfId="787" priority="4" operator="between">
      <formula>0.1</formula>
      <formula>0.999</formula>
    </cfRule>
    <cfRule type="cellIs" dxfId="786" priority="5" operator="lessThanOrEqual">
      <formula>0.1</formula>
    </cfRule>
    <cfRule type="containsBlanks" dxfId="785" priority="6" stopIfTrue="1">
      <formula>LEN(TRIM(P10))=0</formula>
    </cfRule>
    <cfRule type="cellIs" dxfId="784" priority="7" operator="equal">
      <formula>0</formula>
    </cfRule>
    <cfRule type="cellIs" dxfId="783" priority="8" operator="lessThan">
      <formula>0.1</formula>
    </cfRule>
    <cfRule type="cellIs" dxfId="782" priority="9" operator="between">
      <formula>0.1</formula>
      <formula>0.999</formula>
    </cfRule>
    <cfRule type="cellIs" dxfId="781" priority="10" operator="between">
      <formula>1</formula>
      <formula>10</formula>
    </cfRule>
  </conditionalFormatting>
  <conditionalFormatting sqref="Q41:T44">
    <cfRule type="cellIs" dxfId="780" priority="58" operator="lessThanOrEqual">
      <formula>0.1</formula>
    </cfRule>
    <cfRule type="cellIs" dxfId="779" priority="57" operator="greaterThanOrEqual">
      <formula>10</formula>
    </cfRule>
    <cfRule type="cellIs" dxfId="778" priority="56" operator="greaterThanOrEqual">
      <formula>10000</formula>
    </cfRule>
    <cfRule type="containsBlanks" dxfId="777" priority="55" stopIfTrue="1">
      <formula>LEN(TRIM(Q41))=0</formula>
    </cfRule>
    <cfRule type="cellIs" dxfId="776" priority="54" operator="between">
      <formula>0.1</formula>
      <formula>0.999</formula>
    </cfRule>
    <cfRule type="cellIs" dxfId="775" priority="53" operator="between">
      <formula>1</formula>
      <formula>9.999</formula>
    </cfRule>
  </conditionalFormatting>
  <conditionalFormatting sqref="Q42:T42">
    <cfRule type="cellIs" dxfId="774" priority="83" operator="greaterThanOrEqual">
      <formula>$P$41</formula>
    </cfRule>
    <cfRule type="cellIs" dxfId="773" priority="84" operator="lessThan">
      <formula>$P$41</formula>
    </cfRule>
  </conditionalFormatting>
  <conditionalFormatting sqref="Q43:T44">
    <cfRule type="cellIs" dxfId="772" priority="60" operator="lessThan">
      <formula>$P$43</formula>
    </cfRule>
    <cfRule type="cellIs" dxfId="771" priority="59" operator="greaterThanOrEqual">
      <formula>$P$43</formula>
    </cfRule>
  </conditionalFormatting>
  <conditionalFormatting sqref="Q47:T48">
    <cfRule type="cellIs" dxfId="770" priority="78" operator="greaterThan">
      <formula>100</formula>
    </cfRule>
    <cfRule type="cellIs" dxfId="769" priority="79" operator="between">
      <formula>1</formula>
      <formula>100</formula>
    </cfRule>
    <cfRule type="cellIs" dxfId="768" priority="80" operator="lessThanOrEqual">
      <formula>0.1</formula>
    </cfRule>
    <cfRule type="containsBlanks" dxfId="767" priority="81" stopIfTrue="1">
      <formula>LEN(TRIM(Q47))=0</formula>
    </cfRule>
    <cfRule type="cellIs" dxfId="766" priority="82" operator="greaterThanOrEqual">
      <formula>0.0001</formula>
    </cfRule>
  </conditionalFormatting>
  <conditionalFormatting sqref="R22:R23 R28:R29">
    <cfRule type="cellIs" dxfId="765" priority="103" operator="greaterThanOrEqual">
      <formula>10000</formula>
    </cfRule>
    <cfRule type="cellIs" dxfId="764" priority="104" operator="greaterThanOrEqual">
      <formula>10</formula>
    </cfRule>
    <cfRule type="cellIs" dxfId="763" priority="105" operator="between">
      <formula>1</formula>
      <formula>9.999</formula>
    </cfRule>
    <cfRule type="cellIs" dxfId="762" priority="106" operator="between">
      <formula>0.1</formula>
      <formula>0.999</formula>
    </cfRule>
    <cfRule type="cellIs" dxfId="761" priority="107" operator="lessThanOrEqual">
      <formula>0.1</formula>
    </cfRule>
    <cfRule type="containsBlanks" dxfId="760" priority="108" stopIfTrue="1">
      <formula>LEN(TRIM(R22))=0</formula>
    </cfRule>
    <cfRule type="cellIs" dxfId="759" priority="109" operator="lessThan">
      <formula>$Q22</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75F4A-442E-4F11-82FF-ADE1D7E8791D}">
  <dimension ref="B2:U63"/>
  <sheetViews>
    <sheetView topLeftCell="E1" workbookViewId="0">
      <selection activeCell="S9" sqref="S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12" width="15.85546875" style="66" customWidth="1"/>
    <col min="13" max="13" width="12.85546875" style="66" customWidth="1"/>
    <col min="14" max="14" width="21.28515625" style="66" customWidth="1"/>
    <col min="15" max="15" width="28.42578125" style="66" customWidth="1"/>
    <col min="16" max="19" width="14.85546875" style="66" customWidth="1"/>
    <col min="20" max="21" width="13.5703125" style="66" customWidth="1"/>
    <col min="22" max="16384" width="8.7109375" style="66"/>
  </cols>
  <sheetData>
    <row r="2" spans="2:21" ht="21" x14ac:dyDescent="0.35">
      <c r="C2" s="83" t="s">
        <v>2</v>
      </c>
      <c r="M2" s="68"/>
      <c r="T2" s="67"/>
    </row>
    <row r="3" spans="2:21" ht="15.75" x14ac:dyDescent="0.25">
      <c r="C3" s="67"/>
      <c r="M3" s="68"/>
      <c r="T3" s="67"/>
    </row>
    <row r="4" spans="2:21" ht="21" x14ac:dyDescent="0.35">
      <c r="C4" s="84" t="s">
        <v>83</v>
      </c>
      <c r="D4" s="85"/>
      <c r="E4" s="85"/>
      <c r="F4" s="85"/>
      <c r="G4" s="85"/>
      <c r="H4" s="85"/>
      <c r="I4" s="85"/>
      <c r="J4" s="85"/>
      <c r="K4" s="85"/>
      <c r="L4" s="85"/>
      <c r="N4" s="84" t="s">
        <v>29</v>
      </c>
      <c r="T4" s="67"/>
    </row>
    <row r="5" spans="2:21" ht="21" x14ac:dyDescent="0.35">
      <c r="C5" s="83"/>
      <c r="D5" s="85"/>
      <c r="E5" s="85"/>
      <c r="F5" s="85"/>
      <c r="G5" s="85"/>
      <c r="H5" s="85"/>
      <c r="I5" s="85"/>
      <c r="J5" s="85"/>
      <c r="K5" s="85"/>
      <c r="L5" s="85"/>
      <c r="N5" s="83"/>
      <c r="T5" s="67"/>
    </row>
    <row r="6" spans="2:21" ht="21" x14ac:dyDescent="0.35">
      <c r="C6" s="83" t="s">
        <v>84</v>
      </c>
      <c r="D6" s="85"/>
      <c r="E6" s="85"/>
      <c r="F6" s="85"/>
      <c r="G6" s="85"/>
      <c r="H6" s="85"/>
      <c r="I6" s="85"/>
      <c r="J6" s="85"/>
      <c r="K6" s="85"/>
      <c r="L6" s="85"/>
      <c r="N6" s="83" t="s">
        <v>84</v>
      </c>
      <c r="T6" s="67"/>
    </row>
    <row r="7" spans="2:21" ht="15.75" x14ac:dyDescent="0.25">
      <c r="C7" s="67"/>
      <c r="M7" s="68"/>
      <c r="T7" s="67"/>
    </row>
    <row r="8" spans="2:21" ht="78" customHeight="1" x14ac:dyDescent="0.25">
      <c r="C8" s="592" t="s">
        <v>85</v>
      </c>
      <c r="D8" s="593" t="s">
        <v>23</v>
      </c>
      <c r="E8" s="411" t="s">
        <v>86</v>
      </c>
      <c r="F8" s="411" t="s">
        <v>87</v>
      </c>
      <c r="G8" s="411" t="s">
        <v>89</v>
      </c>
      <c r="H8" s="411" t="s">
        <v>90</v>
      </c>
      <c r="I8" s="291"/>
      <c r="J8" s="291"/>
      <c r="K8" s="291"/>
      <c r="L8" s="291"/>
      <c r="M8" s="1"/>
      <c r="N8" s="592" t="s">
        <v>85</v>
      </c>
      <c r="O8" s="592" t="s">
        <v>23</v>
      </c>
      <c r="P8" s="411" t="s">
        <v>91</v>
      </c>
      <c r="Q8" s="411" t="s">
        <v>92</v>
      </c>
      <c r="R8" s="411" t="s">
        <v>94</v>
      </c>
      <c r="S8" s="411" t="s">
        <v>95</v>
      </c>
      <c r="U8" s="67"/>
    </row>
    <row r="9" spans="2:21" ht="27" x14ac:dyDescent="0.25">
      <c r="C9" s="592"/>
      <c r="D9" s="593"/>
      <c r="E9" s="411" t="s">
        <v>158</v>
      </c>
      <c r="F9" s="411" t="s">
        <v>159</v>
      </c>
      <c r="G9" s="411" t="s">
        <v>160</v>
      </c>
      <c r="H9" s="411" t="s">
        <v>161</v>
      </c>
      <c r="I9" s="291"/>
      <c r="J9" s="291"/>
      <c r="K9" s="291"/>
      <c r="L9" s="291"/>
      <c r="M9" s="1"/>
      <c r="N9" s="592"/>
      <c r="O9" s="592"/>
      <c r="P9" s="411" t="s">
        <v>100</v>
      </c>
      <c r="Q9" s="411" t="s">
        <v>162</v>
      </c>
      <c r="R9" s="411" t="s">
        <v>163</v>
      </c>
      <c r="S9" s="411" t="s">
        <v>507</v>
      </c>
      <c r="U9" s="67"/>
    </row>
    <row r="10" spans="2:21" ht="15.6" customHeight="1" x14ac:dyDescent="0.25">
      <c r="C10" s="88" t="s">
        <v>30</v>
      </c>
      <c r="D10" s="594" t="s">
        <v>103</v>
      </c>
      <c r="E10" s="316">
        <f>'Inhalation Exposures'!I68</f>
        <v>2.399973311121917E-3</v>
      </c>
      <c r="F10" s="316">
        <f>'Inhalation Exposures'!K68</f>
        <v>1.6326349055251137E-3</v>
      </c>
      <c r="G10" s="316">
        <f>'Inhalation Exposures'!O68</f>
        <v>1.118243085976105E-3</v>
      </c>
      <c r="H10" s="316">
        <f>'Inhalation Exposures'!Q68</f>
        <v>2.8099441647604691E-4</v>
      </c>
      <c r="I10" s="329"/>
      <c r="J10" s="329"/>
      <c r="K10" s="329"/>
      <c r="L10" s="329"/>
      <c r="M10" s="1"/>
      <c r="N10" s="595" t="s">
        <v>104</v>
      </c>
      <c r="O10" s="72" t="s">
        <v>103</v>
      </c>
      <c r="P10" s="316">
        <f>IFERROR(INDEX('Dermal Exposures'!$J$33:$J$34, MATCH(TCE_operator!$C$2, 'Dermal Exposures'!$A$33:$A$34, 0)), "")</f>
        <v>0.24</v>
      </c>
      <c r="Q10" s="316">
        <f>IFERROR(INDEX('Dermal Exposures'!$K$33:$K$34, MATCH(TCE_operator!$C$2, 'Dermal Exposures'!$A$33:$A$34, 0)), "")</f>
        <v>3.0999999999999999E-3</v>
      </c>
      <c r="R10" s="316">
        <f>IFERROR(INDEX('Dermal Exposures'!$M$33:$M$34, MATCH(TCE_operator!$C$2, 'Dermal Exposures'!$A$33:$A$34, 0)), "")</f>
        <v>2.0999999999999999E-3</v>
      </c>
      <c r="S10" s="316">
        <f>IFERROR(INDEX('Dermal Exposures'!$N$33:$N$34, MATCH(TCE_operator!$C$2, 'Dermal Exposures'!$A$33:$A$34, 0)), "")</f>
        <v>8.5999999999999998E-4</v>
      </c>
      <c r="U10" s="67"/>
    </row>
    <row r="11" spans="2:21" ht="15.75" x14ac:dyDescent="0.25">
      <c r="C11" s="88" t="s">
        <v>28</v>
      </c>
      <c r="D11" s="594"/>
      <c r="E11" s="316">
        <f>'Inhalation Exposures'!I80</f>
        <v>1.6219005447518585E-3</v>
      </c>
      <c r="F11" s="316">
        <f>'Inhalation Exposures'!K80</f>
        <v>1.103333703912829E-3</v>
      </c>
      <c r="G11" s="316">
        <f>'Inhalation Exposures'!O80</f>
        <v>7.5570801637865007E-4</v>
      </c>
      <c r="H11" s="316">
        <f>'Inhalation Exposures'!Q80</f>
        <v>1.8989586052591719E-4</v>
      </c>
      <c r="I11" s="329"/>
      <c r="J11" s="329"/>
      <c r="K11" s="329"/>
      <c r="L11" s="329"/>
      <c r="M11" s="1"/>
      <c r="N11" s="595"/>
      <c r="O11" s="72" t="s">
        <v>27</v>
      </c>
      <c r="P11" s="316">
        <f>IFERROR(INDEX('Dermal Exposures'!$O$33:$O$34, MATCH(TCE_operator!$C$2, 'Dermal Exposures'!$A$33:$A$34, 0)), "")</f>
        <v>0.09</v>
      </c>
      <c r="Q11" s="316">
        <f>IFERROR(INDEX('Dermal Exposures'!$P$33:$P$34, MATCH(TCE_operator!$C$2, 'Dermal Exposures'!$A$33:$A$34, 0)), "")</f>
        <v>1.1999999999999999E-3</v>
      </c>
      <c r="R11" s="316">
        <f>IFERROR(INDEX('Dermal Exposures'!$R$33:$R$34, MATCH(TCE_operator!$C$2, 'Dermal Exposures'!$A$33:$A$34, 0)), "")</f>
        <v>7.9000000000000001E-4</v>
      </c>
      <c r="S11" s="316">
        <f>IFERROR(INDEX('Dermal Exposures'!$S$33:$S$34, MATCH(TCE_operator!$C$2, 'Dermal Exposures'!$A$33:$A$34, 0)), "")</f>
        <v>2.9E-4</v>
      </c>
      <c r="U11" s="67"/>
    </row>
    <row r="12" spans="2:21" ht="15.6" customHeight="1" x14ac:dyDescent="0.25">
      <c r="C12" s="88" t="s">
        <v>30</v>
      </c>
      <c r="D12" s="591" t="s">
        <v>27</v>
      </c>
      <c r="E12" s="316">
        <f>'Inhalation Exposures'!J68</f>
        <v>5.3506415753674409E-4</v>
      </c>
      <c r="F12" s="316">
        <f>'Inhalation Exposures'!L68</f>
        <v>3.6398922281411162E-4</v>
      </c>
      <c r="G12" s="316">
        <f>'Inhalation Exposures'!P68</f>
        <v>2.4930768685898054E-4</v>
      </c>
      <c r="H12" s="316">
        <f>'Inhalation Exposures'!R68</f>
        <v>4.8551073889588651E-5</v>
      </c>
      <c r="I12" s="329"/>
      <c r="J12" s="329"/>
      <c r="K12" s="329"/>
      <c r="L12" s="329"/>
      <c r="M12" s="1"/>
      <c r="N12" s="565" t="str">
        <f>_xlfn.CONCAT("Worker with Gloves; 
PF of ",'List Values'!$B$16)</f>
        <v>Worker with Gloves; 
PF of 5</v>
      </c>
      <c r="O12" s="71" t="s">
        <v>103</v>
      </c>
      <c r="P12" s="316">
        <f>P10/'List Values'!$B$16</f>
        <v>4.8000000000000001E-2</v>
      </c>
      <c r="Q12" s="316">
        <f>Q10/'List Values'!$B$16</f>
        <v>6.2E-4</v>
      </c>
      <c r="R12" s="316">
        <f>R10/'List Values'!$B$16</f>
        <v>4.1999999999999996E-4</v>
      </c>
      <c r="S12" s="316">
        <f>S10/'List Values'!$B$16</f>
        <v>1.7200000000000001E-4</v>
      </c>
    </row>
    <row r="13" spans="2:21" ht="15" x14ac:dyDescent="0.25">
      <c r="C13" s="88" t="s">
        <v>28</v>
      </c>
      <c r="D13" s="591"/>
      <c r="E13" s="316">
        <f>'Inhalation Exposures'!J80</f>
        <v>3.5709853644700637E-4</v>
      </c>
      <c r="F13" s="316">
        <f>'Inhalation Exposures'!L80</f>
        <v>2.4292417445374582E-4</v>
      </c>
      <c r="G13" s="316">
        <f>'Inhalation Exposures'!P80</f>
        <v>1.6638642085873E-4</v>
      </c>
      <c r="H13" s="316">
        <f>'Inhalation Exposures'!R80</f>
        <v>3.2402688882616782E-5</v>
      </c>
      <c r="I13" s="329"/>
      <c r="J13" s="329"/>
      <c r="K13" s="329"/>
      <c r="L13" s="329"/>
      <c r="M13" s="1"/>
      <c r="N13" s="565"/>
      <c r="O13" s="71" t="s">
        <v>27</v>
      </c>
      <c r="P13" s="316">
        <f>P11/'List Values'!$B$16</f>
        <v>1.7999999999999999E-2</v>
      </c>
      <c r="Q13" s="316">
        <f>Q11/'List Values'!$B$16</f>
        <v>2.3999999999999998E-4</v>
      </c>
      <c r="R13" s="316">
        <f>R11/'List Values'!$B$16</f>
        <v>1.5799999999999999E-4</v>
      </c>
      <c r="S13" s="316">
        <f>S11/'List Values'!$B$16</f>
        <v>5.8E-5</v>
      </c>
    </row>
    <row r="14" spans="2:21" x14ac:dyDescent="0.2">
      <c r="N14" s="565" t="str">
        <f>_xlfn.CONCAT("Worker with Gloves; 
PF of ",'List Values'!$B$17)</f>
        <v>Worker with Gloves; 
PF of 10</v>
      </c>
      <c r="O14" s="71" t="s">
        <v>103</v>
      </c>
      <c r="P14" s="316">
        <f>P10/'List Values'!$B$17</f>
        <v>2.4E-2</v>
      </c>
      <c r="Q14" s="316">
        <f>Q10/'List Values'!$B$17</f>
        <v>3.1E-4</v>
      </c>
      <c r="R14" s="316">
        <f>R10/'List Values'!$B$17</f>
        <v>2.0999999999999998E-4</v>
      </c>
      <c r="S14" s="316">
        <f>S10/'List Values'!$B$17</f>
        <v>8.6000000000000003E-5</v>
      </c>
    </row>
    <row r="15" spans="2:21" ht="21" x14ac:dyDescent="0.35">
      <c r="C15" s="83" t="s">
        <v>105</v>
      </c>
      <c r="N15" s="565"/>
      <c r="O15" s="71" t="s">
        <v>27</v>
      </c>
      <c r="P15" s="316">
        <f>P11/'List Values'!$B$17</f>
        <v>8.9999999999999993E-3</v>
      </c>
      <c r="Q15" s="316">
        <f>Q11/'List Values'!$B$17</f>
        <v>1.1999999999999999E-4</v>
      </c>
      <c r="R15" s="316">
        <f>R11/'List Values'!$B$17</f>
        <v>7.8999999999999996E-5</v>
      </c>
      <c r="S15" s="316">
        <f>S11/'List Values'!$B$17</f>
        <v>2.9E-5</v>
      </c>
    </row>
    <row r="16" spans="2:21" ht="28.5" customHeight="1" x14ac:dyDescent="0.2">
      <c r="B16" s="70"/>
      <c r="C16" s="568" t="s">
        <v>106</v>
      </c>
      <c r="D16" s="568" t="s">
        <v>107</v>
      </c>
      <c r="E16" s="568" t="s">
        <v>23</v>
      </c>
      <c r="F16" s="568" t="s">
        <v>108</v>
      </c>
      <c r="G16" s="568" t="s">
        <v>109</v>
      </c>
      <c r="H16" s="568"/>
      <c r="I16" s="90"/>
      <c r="J16" s="90"/>
      <c r="K16" s="90"/>
      <c r="L16" s="90"/>
      <c r="M16" s="90"/>
      <c r="N16" s="565" t="str">
        <f>_xlfn.CONCAT("Worker with Gloves; 
PF of ",'List Values'!$B$18)</f>
        <v>Worker with Gloves; 
PF of 20</v>
      </c>
      <c r="O16" s="71" t="s">
        <v>103</v>
      </c>
      <c r="P16" s="316">
        <f>P10/'List Values'!$B$18</f>
        <v>1.2E-2</v>
      </c>
      <c r="Q16" s="316">
        <f>Q10/'List Values'!$B$18</f>
        <v>1.55E-4</v>
      </c>
      <c r="R16" s="316">
        <f>R10/'List Values'!$B$18</f>
        <v>1.0499999999999999E-4</v>
      </c>
      <c r="S16" s="316">
        <f>S10/'List Values'!$B$18</f>
        <v>4.3000000000000002E-5</v>
      </c>
    </row>
    <row r="17" spans="2:20" ht="26.1" customHeight="1" x14ac:dyDescent="0.2">
      <c r="B17" s="70"/>
      <c r="C17" s="568"/>
      <c r="D17" s="568"/>
      <c r="E17" s="568"/>
      <c r="F17" s="568"/>
      <c r="G17" s="413" t="s">
        <v>110</v>
      </c>
      <c r="H17" s="413" t="s">
        <v>111</v>
      </c>
      <c r="I17" s="90"/>
      <c r="J17" s="90"/>
      <c r="K17" s="90"/>
      <c r="L17" s="90"/>
      <c r="M17" s="90"/>
      <c r="N17" s="565"/>
      <c r="O17" s="71" t="s">
        <v>27</v>
      </c>
      <c r="P17" s="316">
        <f>P11/'List Values'!$B$18</f>
        <v>4.4999999999999997E-3</v>
      </c>
      <c r="Q17" s="316">
        <f>Q11/'List Values'!$B$18</f>
        <v>5.9999999999999995E-5</v>
      </c>
      <c r="R17" s="316">
        <f>R11/'List Values'!$B$18</f>
        <v>3.9499999999999998E-5</v>
      </c>
      <c r="S17" s="316">
        <f>S11/'List Values'!$B$18</f>
        <v>1.45E-5</v>
      </c>
    </row>
    <row r="18" spans="2:20" ht="27.6" customHeight="1" x14ac:dyDescent="0.2">
      <c r="B18" s="70"/>
      <c r="C18" s="606" t="s">
        <v>164</v>
      </c>
      <c r="D18" s="580">
        <f>INDEX('Health Data'!$G:$G,MATCH($C$2,'Health Data'!$B:$B,0))</f>
        <v>0.96757990867579902</v>
      </c>
      <c r="E18" s="71" t="s">
        <v>103</v>
      </c>
      <c r="F18" s="412">
        <v>10</v>
      </c>
      <c r="G18" s="101">
        <f>D18/$F$10</f>
        <v>592.64928454080234</v>
      </c>
      <c r="H18" s="102">
        <f>D18/$F$11</f>
        <v>876.9603477573495</v>
      </c>
      <c r="I18" s="330"/>
      <c r="J18" s="330"/>
      <c r="K18" s="330"/>
      <c r="L18" s="330"/>
      <c r="M18" s="77"/>
    </row>
    <row r="19" spans="2:20" ht="25.5" customHeight="1" x14ac:dyDescent="0.35">
      <c r="B19" s="70"/>
      <c r="C19" s="577"/>
      <c r="D19" s="555"/>
      <c r="E19" s="71" t="s">
        <v>27</v>
      </c>
      <c r="F19" s="412">
        <v>10</v>
      </c>
      <c r="G19" s="101">
        <f>D18/$F$12</f>
        <v>2658.2652672932013</v>
      </c>
      <c r="H19" s="102">
        <f>D18/$F$13</f>
        <v>3983.0531928391174</v>
      </c>
      <c r="I19" s="330"/>
      <c r="J19" s="330"/>
      <c r="K19" s="330"/>
      <c r="L19" s="330"/>
      <c r="M19" s="77"/>
      <c r="N19" s="83" t="s">
        <v>113</v>
      </c>
    </row>
    <row r="20" spans="2:20"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20" s="85" customFormat="1" ht="27.75" x14ac:dyDescent="0.35">
      <c r="B21" s="83"/>
      <c r="C21" s="83" t="s">
        <v>122</v>
      </c>
      <c r="F21" s="86"/>
      <c r="N21" s="571"/>
      <c r="O21" s="571"/>
      <c r="P21" s="571"/>
      <c r="Q21" s="571"/>
      <c r="R21" s="422" t="s">
        <v>116</v>
      </c>
      <c r="S21" s="66"/>
      <c r="T21" s="66"/>
    </row>
    <row r="22" spans="2:20" ht="29.25" customHeight="1" x14ac:dyDescent="0.2">
      <c r="B22" s="79"/>
      <c r="C22" s="568" t="s">
        <v>106</v>
      </c>
      <c r="D22" s="568" t="s">
        <v>107</v>
      </c>
      <c r="E22" s="568" t="s">
        <v>23</v>
      </c>
      <c r="F22" s="568" t="s">
        <v>108</v>
      </c>
      <c r="G22" s="568" t="s">
        <v>123</v>
      </c>
      <c r="H22" s="568"/>
      <c r="I22" s="90"/>
      <c r="J22" s="90"/>
      <c r="K22" s="90"/>
      <c r="L22" s="90"/>
      <c r="M22" s="90"/>
      <c r="N22" s="606" t="s">
        <v>164</v>
      </c>
      <c r="O22" s="589">
        <f>INDEX('Health Data'!$K:$K,MATCH($C$2,'Health Data'!$B:$B,0))</f>
        <v>1.34</v>
      </c>
      <c r="P22" s="72" t="s">
        <v>103</v>
      </c>
      <c r="Q22" s="412">
        <v>10</v>
      </c>
      <c r="R22" s="101">
        <f>IFERROR(O22/Q10, "")</f>
        <v>432.25806451612908</v>
      </c>
    </row>
    <row r="23" spans="2:20" ht="32.25" customHeight="1" x14ac:dyDescent="0.2">
      <c r="B23" s="79"/>
      <c r="C23" s="582"/>
      <c r="D23" s="568"/>
      <c r="E23" s="568"/>
      <c r="F23" s="568"/>
      <c r="G23" s="413" t="s">
        <v>110</v>
      </c>
      <c r="H23" s="413" t="s">
        <v>111</v>
      </c>
      <c r="I23" s="90"/>
      <c r="J23" s="90"/>
      <c r="K23" s="90"/>
      <c r="L23" s="90"/>
      <c r="M23" s="90"/>
      <c r="N23" s="577"/>
      <c r="O23" s="590"/>
      <c r="P23" s="72" t="s">
        <v>27</v>
      </c>
      <c r="Q23" s="412">
        <v>10</v>
      </c>
      <c r="R23" s="101">
        <f>IFERROR(O22/Q11, "")</f>
        <v>1116.6666666666667</v>
      </c>
    </row>
    <row r="24" spans="2:20" ht="33" customHeight="1" x14ac:dyDescent="0.2">
      <c r="B24" s="79"/>
      <c r="C24" s="605" t="s">
        <v>165</v>
      </c>
      <c r="D24" s="580">
        <f>INDEX('Health Data'!$P:$P,MATCH($C$2,'Health Data'!$B:$B,0))</f>
        <v>3.2934931506849306E-2</v>
      </c>
      <c r="E24" s="72" t="s">
        <v>103</v>
      </c>
      <c r="F24" s="412">
        <v>30</v>
      </c>
      <c r="G24" s="419">
        <f>D24/$G$10</f>
        <v>29.45239002135272</v>
      </c>
      <c r="H24" s="419">
        <f>D24/$G$11</f>
        <v>43.581556359125805</v>
      </c>
      <c r="I24" s="96"/>
      <c r="J24" s="96"/>
      <c r="K24" s="96"/>
      <c r="L24" s="96"/>
      <c r="M24" s="77"/>
      <c r="N24" s="74"/>
      <c r="O24" s="75"/>
      <c r="P24" s="81"/>
      <c r="R24" s="77"/>
    </row>
    <row r="25" spans="2:20" ht="33" customHeight="1" x14ac:dyDescent="0.35">
      <c r="B25" s="79"/>
      <c r="C25" s="577"/>
      <c r="D25" s="555"/>
      <c r="E25" s="72" t="s">
        <v>27</v>
      </c>
      <c r="F25" s="412">
        <v>30</v>
      </c>
      <c r="G25" s="419">
        <f>D24/$G$12</f>
        <v>132.1055596872902</v>
      </c>
      <c r="H25" s="419">
        <f>D24/$G$13</f>
        <v>197.94242424874702</v>
      </c>
      <c r="I25" s="96"/>
      <c r="J25" s="96"/>
      <c r="K25" s="96"/>
      <c r="L25" s="96"/>
      <c r="M25" s="77"/>
      <c r="N25" s="83" t="s">
        <v>125</v>
      </c>
      <c r="O25" s="85"/>
      <c r="P25" s="85"/>
      <c r="Q25" s="85"/>
      <c r="R25" s="85"/>
      <c r="S25" s="85"/>
      <c r="T25" s="85"/>
    </row>
    <row r="26" spans="2:20" ht="25.5" x14ac:dyDescent="0.2">
      <c r="B26" s="79"/>
      <c r="C26" s="80"/>
      <c r="D26" s="75"/>
      <c r="E26" s="81"/>
      <c r="F26" s="75"/>
      <c r="G26" s="77"/>
      <c r="H26" s="77"/>
      <c r="I26" s="77"/>
      <c r="J26" s="77"/>
      <c r="K26" s="77"/>
      <c r="L26" s="77"/>
      <c r="M26" s="77"/>
      <c r="N26" s="566" t="s">
        <v>106</v>
      </c>
      <c r="O26" s="566" t="s">
        <v>121</v>
      </c>
      <c r="P26" s="566" t="s">
        <v>23</v>
      </c>
      <c r="Q26" s="566" t="s">
        <v>108</v>
      </c>
      <c r="R26" s="411" t="s">
        <v>123</v>
      </c>
    </row>
    <row r="27" spans="2:20" ht="33" customHeight="1" x14ac:dyDescent="0.35">
      <c r="B27" s="79"/>
      <c r="C27" s="83" t="s">
        <v>126</v>
      </c>
      <c r="D27" s="85"/>
      <c r="E27" s="85"/>
      <c r="F27" s="85"/>
      <c r="G27" s="85"/>
      <c r="H27" s="85"/>
      <c r="I27" s="85"/>
      <c r="J27" s="85"/>
      <c r="K27" s="85"/>
      <c r="L27" s="85"/>
      <c r="M27" s="77"/>
      <c r="N27" s="581"/>
      <c r="O27" s="567"/>
      <c r="P27" s="567"/>
      <c r="Q27" s="567"/>
      <c r="R27" s="411" t="s">
        <v>116</v>
      </c>
    </row>
    <row r="28" spans="2:20" ht="33" customHeight="1" x14ac:dyDescent="0.2">
      <c r="B28" s="79"/>
      <c r="C28" s="582" t="s">
        <v>127</v>
      </c>
      <c r="D28" s="566" t="s">
        <v>128</v>
      </c>
      <c r="E28" s="566" t="s">
        <v>23</v>
      </c>
      <c r="F28" s="583" t="s">
        <v>129</v>
      </c>
      <c r="G28" s="568" t="s">
        <v>130</v>
      </c>
      <c r="H28" s="568"/>
      <c r="I28" s="90"/>
      <c r="J28" s="90"/>
      <c r="K28" s="90"/>
      <c r="L28" s="90"/>
      <c r="M28" s="77"/>
      <c r="N28" s="577" t="s">
        <v>166</v>
      </c>
      <c r="O28" s="580">
        <f>INDEX('Health Data'!$T:$T,MATCH($C$2,'Health Data'!$B:$B,0))</f>
        <v>4.8000000000000001E-2</v>
      </c>
      <c r="P28" s="72" t="s">
        <v>103</v>
      </c>
      <c r="Q28" s="412">
        <v>30</v>
      </c>
      <c r="R28" s="107">
        <f>IFERROR(O28/$R$10, "")</f>
        <v>22.857142857142858</v>
      </c>
    </row>
    <row r="29" spans="2:20" ht="33" customHeight="1" x14ac:dyDescent="0.2">
      <c r="B29" s="79"/>
      <c r="C29" s="530"/>
      <c r="D29" s="567"/>
      <c r="E29" s="567"/>
      <c r="F29" s="584"/>
      <c r="G29" s="413" t="s">
        <v>131</v>
      </c>
      <c r="H29" s="413" t="s">
        <v>28</v>
      </c>
      <c r="I29" s="90"/>
      <c r="J29" s="90"/>
      <c r="K29" s="90"/>
      <c r="L29" s="90"/>
      <c r="M29" s="77"/>
      <c r="N29" s="577"/>
      <c r="O29" s="555"/>
      <c r="P29" s="72" t="s">
        <v>27</v>
      </c>
      <c r="Q29" s="412">
        <v>30</v>
      </c>
      <c r="R29" s="107">
        <f>IFERROR(O28/$R$11, "")</f>
        <v>60.759493670886073</v>
      </c>
    </row>
    <row r="30" spans="2:20" ht="33" customHeight="1" x14ac:dyDescent="0.2">
      <c r="B30" s="79"/>
      <c r="C30" s="604" t="s">
        <v>167</v>
      </c>
      <c r="D30" s="574">
        <f>INDEX('Health Data'!$Y:$Y,MATCH($C$2,'Health Data'!$B:$B,0))</f>
        <v>2.1999999999999999E-2</v>
      </c>
      <c r="E30" s="71" t="s">
        <v>103</v>
      </c>
      <c r="F30" s="107">
        <v>1E-4</v>
      </c>
      <c r="G30" s="103">
        <f>H10*D30</f>
        <v>6.1818771624730315E-6</v>
      </c>
      <c r="H30" s="403">
        <f>H11*D30</f>
        <v>4.1777089315701778E-6</v>
      </c>
      <c r="I30" s="331"/>
      <c r="J30" s="331"/>
      <c r="K30" s="331"/>
      <c r="L30" s="331"/>
      <c r="M30" s="77"/>
    </row>
    <row r="31" spans="2:20" ht="33" customHeight="1" x14ac:dyDescent="0.35">
      <c r="B31" s="79"/>
      <c r="C31" s="604"/>
      <c r="D31" s="575"/>
      <c r="E31" s="71" t="s">
        <v>27</v>
      </c>
      <c r="F31" s="107">
        <v>1E-4</v>
      </c>
      <c r="G31" s="105">
        <f>H12*D30</f>
        <v>1.0681236255709502E-6</v>
      </c>
      <c r="H31" s="403">
        <f>H13*D30</f>
        <v>7.1285915541756919E-7</v>
      </c>
      <c r="I31" s="331"/>
      <c r="J31" s="331"/>
      <c r="K31" s="331"/>
      <c r="L31" s="331"/>
      <c r="M31" s="77"/>
      <c r="N31" s="83" t="s">
        <v>126</v>
      </c>
      <c r="O31" s="85"/>
      <c r="P31" s="85"/>
      <c r="Q31" s="85"/>
      <c r="R31" s="85"/>
    </row>
    <row r="32" spans="2:20" ht="33" customHeight="1" x14ac:dyDescent="0.2">
      <c r="B32" s="79"/>
      <c r="I32" s="77"/>
      <c r="J32" s="77"/>
      <c r="K32" s="77"/>
      <c r="L32" s="77"/>
      <c r="M32" s="77"/>
      <c r="N32" s="566" t="s">
        <v>127</v>
      </c>
      <c r="O32" s="566" t="s">
        <v>133</v>
      </c>
      <c r="P32" s="566" t="s">
        <v>23</v>
      </c>
      <c r="Q32" s="566" t="s">
        <v>129</v>
      </c>
      <c r="R32" s="411" t="s">
        <v>130</v>
      </c>
    </row>
    <row r="33" spans="2:20" ht="33" customHeight="1" x14ac:dyDescent="0.35">
      <c r="B33" s="79"/>
      <c r="C33" s="83" t="s">
        <v>134</v>
      </c>
      <c r="I33" s="77"/>
      <c r="J33" s="77"/>
      <c r="K33" s="77"/>
      <c r="L33" s="77"/>
      <c r="M33" s="77"/>
      <c r="N33" s="567"/>
      <c r="O33" s="567"/>
      <c r="P33" s="567"/>
      <c r="Q33" s="567"/>
      <c r="R33" s="411" t="s">
        <v>135</v>
      </c>
    </row>
    <row r="34" spans="2:20" ht="33" customHeight="1" thickBot="1" x14ac:dyDescent="0.4">
      <c r="B34" s="79"/>
      <c r="C34" s="83"/>
      <c r="I34" s="77"/>
      <c r="J34" s="77"/>
      <c r="K34" s="77"/>
      <c r="L34" s="77"/>
      <c r="M34" s="77"/>
      <c r="N34" s="604" t="s">
        <v>167</v>
      </c>
      <c r="O34" s="574">
        <f>INDEX('Health Data'!$AB:$AB,MATCH($C$2,'Health Data'!$B:$B,0))</f>
        <v>4.6399999999999997E-2</v>
      </c>
      <c r="P34" s="71" t="s">
        <v>103</v>
      </c>
      <c r="Q34" s="561">
        <v>1E-4</v>
      </c>
      <c r="R34" s="107">
        <f>IFERROR(S10*O34, "")</f>
        <v>3.9903999999999996E-5</v>
      </c>
    </row>
    <row r="35" spans="2:20" ht="33" customHeight="1" x14ac:dyDescent="0.25">
      <c r="B35" s="79"/>
      <c r="C35" s="325" t="s">
        <v>136</v>
      </c>
      <c r="I35" s="77"/>
      <c r="J35" s="77"/>
      <c r="K35" s="77"/>
      <c r="L35" s="77"/>
      <c r="M35" s="77"/>
      <c r="N35" s="604"/>
      <c r="O35" s="575"/>
      <c r="P35" s="71" t="s">
        <v>27</v>
      </c>
      <c r="Q35" s="596"/>
      <c r="R35" s="107">
        <f>IFERROR(S11*O34, "")</f>
        <v>1.3456E-5</v>
      </c>
    </row>
    <row r="36" spans="2:20" ht="33" customHeight="1" thickBot="1" x14ac:dyDescent="0.3">
      <c r="B36" s="79"/>
      <c r="C36" s="326" t="s">
        <v>30</v>
      </c>
      <c r="I36" s="77"/>
      <c r="J36" s="77"/>
      <c r="K36" s="77"/>
      <c r="L36" s="77"/>
      <c r="M36" s="77"/>
    </row>
    <row r="37" spans="2:20" ht="33" customHeight="1" x14ac:dyDescent="0.35">
      <c r="B37" s="79"/>
      <c r="C37" s="317"/>
      <c r="I37" s="77"/>
      <c r="J37" s="77"/>
      <c r="K37" s="77"/>
      <c r="L37" s="77"/>
      <c r="M37" s="77"/>
      <c r="N37" s="83" t="s">
        <v>137</v>
      </c>
    </row>
    <row r="38" spans="2:20" ht="33" customHeight="1" thickBot="1" x14ac:dyDescent="0.25">
      <c r="B38" s="79"/>
      <c r="I38" s="77"/>
      <c r="J38" s="77"/>
      <c r="K38" s="77"/>
      <c r="L38" s="77"/>
      <c r="M38" s="77"/>
    </row>
    <row r="39" spans="2:20" ht="33" customHeight="1" x14ac:dyDescent="0.2">
      <c r="B39" s="548" t="s">
        <v>138</v>
      </c>
      <c r="C39" s="540" t="s">
        <v>107</v>
      </c>
      <c r="D39" s="540" t="s">
        <v>23</v>
      </c>
      <c r="E39" s="540" t="s">
        <v>108</v>
      </c>
      <c r="F39" s="540" t="str">
        <f>_xlfn.CONCAT("Exposure Estimates: ",$C$42," MOE")</f>
        <v>Exposure Estimates:  MOE</v>
      </c>
      <c r="G39" s="540"/>
      <c r="H39" s="540"/>
      <c r="I39" s="540"/>
      <c r="J39" s="540"/>
      <c r="K39" s="542"/>
      <c r="L39" s="90"/>
      <c r="M39" s="77"/>
      <c r="N39" s="532" t="s">
        <v>121</v>
      </c>
      <c r="O39" s="540" t="s">
        <v>23</v>
      </c>
      <c r="P39" s="540" t="s">
        <v>108</v>
      </c>
      <c r="Q39" s="540" t="str">
        <f>_xlfn.CONCAT("Exposure Estimates: ",$C$42," MOE")</f>
        <v>Exposure Estimates:  MOE</v>
      </c>
      <c r="R39" s="540"/>
      <c r="S39" s="540"/>
      <c r="T39" s="542"/>
    </row>
    <row r="40" spans="2:20" ht="33" customHeight="1" thickBot="1" x14ac:dyDescent="0.25">
      <c r="B40" s="549"/>
      <c r="C40" s="541"/>
      <c r="D40" s="541"/>
      <c r="E40" s="541"/>
      <c r="F40" s="416" t="s">
        <v>139</v>
      </c>
      <c r="G40" s="416" t="s">
        <v>34</v>
      </c>
      <c r="H40" s="416" t="s">
        <v>35</v>
      </c>
      <c r="I40" s="416" t="s">
        <v>32</v>
      </c>
      <c r="J40" s="416" t="s">
        <v>140</v>
      </c>
      <c r="K40" s="290" t="s">
        <v>31</v>
      </c>
      <c r="L40" s="90"/>
      <c r="M40" s="77"/>
      <c r="N40" s="533"/>
      <c r="O40" s="541"/>
      <c r="P40" s="541"/>
      <c r="Q40" s="318" t="s">
        <v>135</v>
      </c>
      <c r="R40" s="318" t="s">
        <v>33</v>
      </c>
      <c r="S40" s="318" t="s">
        <v>141</v>
      </c>
      <c r="T40" s="319" t="s">
        <v>142</v>
      </c>
    </row>
    <row r="41" spans="2:20" ht="33" customHeight="1" x14ac:dyDescent="0.2">
      <c r="B41" s="550" t="s">
        <v>143</v>
      </c>
      <c r="C41" s="555">
        <f>INDEX('Health Data'!$G:$G,MATCH($C$2,'Health Data'!$B:$B,0))</f>
        <v>0.96757990867579902</v>
      </c>
      <c r="D41" s="292" t="s">
        <v>103</v>
      </c>
      <c r="E41" s="421">
        <v>10</v>
      </c>
      <c r="F41" s="304">
        <f>IFERROR($C41/IF($C$36="Worker",$F$10,$F$11), "")</f>
        <v>592.64928454080234</v>
      </c>
      <c r="G41" s="305">
        <f>IFERROR($F41*'List Values'!$B$9, "")</f>
        <v>5926.4928454080236</v>
      </c>
      <c r="H41" s="305">
        <f>IFERROR($F41*'List Values'!$B$10, "")</f>
        <v>14816.232113520058</v>
      </c>
      <c r="I41" s="305">
        <f>IFERROR($F41*'List Values'!$B$11, "")</f>
        <v>29632.464227040116</v>
      </c>
      <c r="J41" s="305">
        <f>IFERROR($F41*'List Values'!$B$12, "")</f>
        <v>592649.28454080236</v>
      </c>
      <c r="K41" s="306">
        <f>IFERROR($F41*'List Values'!$B$13, "")</f>
        <v>5926492.8454080233</v>
      </c>
      <c r="L41" s="330"/>
      <c r="M41" s="77"/>
      <c r="N41" s="534">
        <f>INDEX('Health Data'!$K:$K,MATCH($C$2,'Health Data'!$B:$B,0))</f>
        <v>1.34</v>
      </c>
      <c r="O41" s="292" t="s">
        <v>103</v>
      </c>
      <c r="P41" s="421">
        <v>10</v>
      </c>
      <c r="Q41" s="305">
        <f>IFERROR($N41/Q$10, "")</f>
        <v>432.25806451612908</v>
      </c>
      <c r="R41" s="305">
        <f>IFERROR($N41/$Q$12, "")</f>
        <v>2161.2903225806454</v>
      </c>
      <c r="S41" s="305">
        <f>IFERROR($N41/$Q$14, "")</f>
        <v>4322.5806451612907</v>
      </c>
      <c r="T41" s="306">
        <f>IFERROR($N41/$Q$16, "")</f>
        <v>8645.1612903225814</v>
      </c>
    </row>
    <row r="42" spans="2:20" ht="33" customHeight="1" thickBot="1" x14ac:dyDescent="0.25">
      <c r="B42" s="551"/>
      <c r="C42" s="556"/>
      <c r="D42" s="293" t="s">
        <v>27</v>
      </c>
      <c r="E42" s="418">
        <v>10</v>
      </c>
      <c r="F42" s="303">
        <f>IFERROR($C41/IF($C$36="Worker",$F$12,$F$13), "")</f>
        <v>2658.2652672932013</v>
      </c>
      <c r="G42" s="303">
        <f>IFERROR($F42*'List Values'!$B$9, "")</f>
        <v>26582.652672932014</v>
      </c>
      <c r="H42" s="303">
        <f>IFERROR($F42*'List Values'!$B$10, "")</f>
        <v>66456.631682330029</v>
      </c>
      <c r="I42" s="303">
        <f>IFERROR($F42*'List Values'!$B$11, "")</f>
        <v>132913.26336466006</v>
      </c>
      <c r="J42" s="303">
        <f>IFERROR($F42*'List Values'!$B$12, "")</f>
        <v>2658265.2672932013</v>
      </c>
      <c r="K42" s="307">
        <f>IFERROR($F42*'List Values'!$B$13, "")</f>
        <v>26582652.672932014</v>
      </c>
      <c r="L42" s="330"/>
      <c r="M42" s="77"/>
      <c r="N42" s="535"/>
      <c r="O42" s="293" t="s">
        <v>27</v>
      </c>
      <c r="P42" s="418">
        <v>10</v>
      </c>
      <c r="Q42" s="321">
        <f>IFERROR($N41/$Q$11, "")</f>
        <v>1116.6666666666667</v>
      </c>
      <c r="R42" s="321">
        <f>IFERROR($N41/$Q$13, "")</f>
        <v>5583.3333333333339</v>
      </c>
      <c r="S42" s="321">
        <f>IFERROR($N41/$Q$15, "")</f>
        <v>11166.666666666668</v>
      </c>
      <c r="T42" s="322">
        <f>IFERROR($N41/$Q$17, "")</f>
        <v>22333.333333333336</v>
      </c>
    </row>
    <row r="43" spans="2:20" ht="33" customHeight="1" x14ac:dyDescent="0.2">
      <c r="B43" s="553" t="s">
        <v>145</v>
      </c>
      <c r="C43" s="555">
        <f>INDEX('Health Data'!$P:$P,MATCH($C$2,'Health Data'!$B:$B,0))</f>
        <v>3.2934931506849306E-2</v>
      </c>
      <c r="D43" s="292" t="s">
        <v>103</v>
      </c>
      <c r="E43" s="421">
        <v>30</v>
      </c>
      <c r="F43" s="304">
        <f>IFERROR($C43/IF($C$36="Worker",$G$10,$G$11), "")</f>
        <v>29.45239002135272</v>
      </c>
      <c r="G43" s="305">
        <f>IFERROR($F43*'List Values'!$B$9, "")</f>
        <v>294.52390021352721</v>
      </c>
      <c r="H43" s="305">
        <f>IFERROR($F43*'List Values'!$B$10, "")</f>
        <v>736.30975053381803</v>
      </c>
      <c r="I43" s="305">
        <f>IFERROR($F43*'List Values'!$B$11, "")</f>
        <v>1472.6195010676361</v>
      </c>
      <c r="J43" s="305">
        <f>IFERROR($F43*'List Values'!$B$12, "")</f>
        <v>29452.390021352719</v>
      </c>
      <c r="K43" s="306">
        <f>IFERROR($F43*'List Values'!$B$13, "")</f>
        <v>294523.9002135272</v>
      </c>
      <c r="L43" s="330"/>
      <c r="M43" s="77"/>
      <c r="N43" s="534">
        <f>INDEX('Health Data'!$T:$T,MATCH($C$2,'Health Data'!$B:$B,0))</f>
        <v>4.8000000000000001E-2</v>
      </c>
      <c r="O43" s="292" t="s">
        <v>103</v>
      </c>
      <c r="P43" s="421">
        <v>30</v>
      </c>
      <c r="Q43" s="323">
        <f>IFERROR($N$43/$R$10, "")</f>
        <v>22.857142857142858</v>
      </c>
      <c r="R43" s="323">
        <f>IFERROR($N$43/$R$12, "")</f>
        <v>114.28571428571429</v>
      </c>
      <c r="S43" s="323">
        <f>IFERROR($N$43/$R$14, "")</f>
        <v>228.57142857142858</v>
      </c>
      <c r="T43" s="323">
        <f>IFERROR($N$43/$R$16, "")</f>
        <v>457.14285714285717</v>
      </c>
    </row>
    <row r="44" spans="2:20" ht="33" customHeight="1" thickBot="1" x14ac:dyDescent="0.25">
      <c r="B44" s="554"/>
      <c r="C44" s="556"/>
      <c r="D44" s="293" t="s">
        <v>27</v>
      </c>
      <c r="E44" s="418">
        <v>30</v>
      </c>
      <c r="F44" s="303">
        <f>IFERROR($C43/IF($C$36="Worker",$G$12,$G$13), "")</f>
        <v>132.1055596872902</v>
      </c>
      <c r="G44" s="303">
        <f>IFERROR($F44*'List Values'!$B$9, "")</f>
        <v>1321.055596872902</v>
      </c>
      <c r="H44" s="303">
        <f>IFERROR($F44*'List Values'!$B$10, "")</f>
        <v>3302.6389921822547</v>
      </c>
      <c r="I44" s="303">
        <f>IFERROR($F44*'List Values'!$B$11, "")</f>
        <v>6605.2779843645094</v>
      </c>
      <c r="J44" s="303">
        <f>IFERROR($F44*'List Values'!$B$12, "")</f>
        <v>132105.5596872902</v>
      </c>
      <c r="K44" s="307">
        <f>IFERROR($F44*'List Values'!$B$13, "")</f>
        <v>1321055.596872902</v>
      </c>
      <c r="L44" s="330"/>
      <c r="M44" s="77"/>
      <c r="N44" s="603"/>
      <c r="O44" s="320" t="s">
        <v>27</v>
      </c>
      <c r="P44" s="420">
        <v>30</v>
      </c>
      <c r="Q44" s="323">
        <f>IFERROR($N$43/$R$11, "")</f>
        <v>60.759493670886073</v>
      </c>
      <c r="R44" s="323">
        <f>IFERROR($N$43/$R$13, "")</f>
        <v>303.79746835443041</v>
      </c>
      <c r="S44" s="323">
        <f>IFERROR($N$43/$R$15, "")</f>
        <v>607.59493670886081</v>
      </c>
      <c r="T44" s="323">
        <f>IFERROR($N$43/$R$17, "")</f>
        <v>1215.1898734177216</v>
      </c>
    </row>
    <row r="45" spans="2:20" ht="33" customHeight="1" x14ac:dyDescent="0.2">
      <c r="B45" s="294"/>
      <c r="C45" s="547" t="s">
        <v>146</v>
      </c>
      <c r="D45" s="530" t="s">
        <v>23</v>
      </c>
      <c r="E45" s="530" t="s">
        <v>108</v>
      </c>
      <c r="F45" s="530" t="str">
        <f>_xlfn.CONCAT("Exposure Estimates: ",$C$42," MOE")</f>
        <v>Exposure Estimates:  MOE</v>
      </c>
      <c r="G45" s="530"/>
      <c r="H45" s="530"/>
      <c r="I45" s="530"/>
      <c r="J45" s="530"/>
      <c r="K45" s="531"/>
      <c r="L45" s="90"/>
      <c r="M45" s="77"/>
      <c r="N45" s="532" t="s">
        <v>147</v>
      </c>
      <c r="O45" s="540" t="s">
        <v>23</v>
      </c>
      <c r="P45" s="540" t="s">
        <v>108</v>
      </c>
      <c r="Q45" s="540" t="str">
        <f>_xlfn.CONCAT("Exposure Estimates: ",$I$4," MOE")</f>
        <v>Exposure Estimates:  MOE</v>
      </c>
      <c r="R45" s="540"/>
      <c r="S45" s="540"/>
      <c r="T45" s="542"/>
    </row>
    <row r="46" spans="2:20" ht="33" customHeight="1" thickBot="1" x14ac:dyDescent="0.25">
      <c r="B46" s="294"/>
      <c r="C46" s="533"/>
      <c r="D46" s="541"/>
      <c r="E46" s="541"/>
      <c r="F46" s="416" t="s">
        <v>139</v>
      </c>
      <c r="G46" s="416" t="s">
        <v>34</v>
      </c>
      <c r="H46" s="416" t="s">
        <v>35</v>
      </c>
      <c r="I46" s="416" t="s">
        <v>32</v>
      </c>
      <c r="J46" s="416" t="s">
        <v>140</v>
      </c>
      <c r="K46" s="290" t="s">
        <v>31</v>
      </c>
      <c r="L46" s="90"/>
      <c r="M46" s="77"/>
      <c r="N46" s="533"/>
      <c r="O46" s="541"/>
      <c r="P46" s="541"/>
      <c r="Q46" s="318" t="s">
        <v>135</v>
      </c>
      <c r="R46" s="318" t="s">
        <v>33</v>
      </c>
      <c r="S46" s="318" t="s">
        <v>141</v>
      </c>
      <c r="T46" s="319" t="s">
        <v>142</v>
      </c>
    </row>
    <row r="47" spans="2:20" ht="33" customHeight="1" x14ac:dyDescent="0.2">
      <c r="B47" s="545" t="s">
        <v>148</v>
      </c>
      <c r="C47" s="599">
        <f>INDEX('Health Data'!$Y:$Y,MATCH($C$2,'Health Data'!$B:$B,0))</f>
        <v>2.1999999999999999E-2</v>
      </c>
      <c r="D47" s="299" t="s">
        <v>103</v>
      </c>
      <c r="E47" s="334">
        <v>1E-4</v>
      </c>
      <c r="F47" s="340">
        <f>IFERROR($C47*IF($C$36="Worker",$H$10,$H$11), "")</f>
        <v>6.1818771624730315E-6</v>
      </c>
      <c r="G47" s="341">
        <f>IFERROR($F47/'List Values'!$B$9, "")</f>
        <v>6.1818771624730311E-7</v>
      </c>
      <c r="H47" s="341">
        <f>IFERROR($F47/'List Values'!$B$10, "")</f>
        <v>2.4727508649892124E-7</v>
      </c>
      <c r="I47" s="341">
        <f>IFERROR($F47/'List Values'!$B$11, "")</f>
        <v>1.2363754324946062E-7</v>
      </c>
      <c r="J47" s="341">
        <f>IFERROR($F47/'List Values'!$B$12, "")</f>
        <v>6.1818771624730317E-9</v>
      </c>
      <c r="K47" s="342">
        <f>IFERROR($F47/'List Values'!$B$13, "")</f>
        <v>6.1818771624730313E-10</v>
      </c>
      <c r="L47" s="333"/>
      <c r="M47" s="77"/>
      <c r="N47" s="600">
        <f>INDEX('Health Data'!$AB:$AB,MATCH($C$2,'Health Data'!$B:$B,0))</f>
        <v>4.6399999999999997E-2</v>
      </c>
      <c r="O47" s="299" t="s">
        <v>103</v>
      </c>
      <c r="P47" s="601">
        <v>1E-4</v>
      </c>
      <c r="Q47" s="301">
        <f>IFERROR($N$47*$S10, "")</f>
        <v>3.9903999999999996E-5</v>
      </c>
      <c r="R47" s="301">
        <f>IFERROR($N$47*$S12, "")</f>
        <v>7.9807999999999999E-6</v>
      </c>
      <c r="S47" s="301">
        <f>IFERROR($N$47*$S14, "")</f>
        <v>3.9903999999999999E-6</v>
      </c>
      <c r="T47" s="301">
        <f>IFERROR($N$47*$S16, "")</f>
        <v>1.9952E-6</v>
      </c>
    </row>
    <row r="48" spans="2:20" ht="33" customHeight="1" thickBot="1" x14ac:dyDescent="0.25">
      <c r="B48" s="546"/>
      <c r="C48" s="544"/>
      <c r="D48" s="293" t="s">
        <v>27</v>
      </c>
      <c r="E48" s="335">
        <v>1E-4</v>
      </c>
      <c r="F48" s="337">
        <f>IFERROR($C47*IF($C$36="Worker",$H$12,$H$13), "")</f>
        <v>1.0681236255709502E-6</v>
      </c>
      <c r="G48" s="338">
        <f>IFERROR($F48/'List Values'!$B$9, "")</f>
        <v>1.0681236255709502E-7</v>
      </c>
      <c r="H48" s="338">
        <f>IFERROR($F48/'List Values'!$B$10, "")</f>
        <v>4.2724945022838006E-8</v>
      </c>
      <c r="I48" s="338">
        <f>IFERROR($F48/'List Values'!$B$11, "")</f>
        <v>2.1362472511419003E-8</v>
      </c>
      <c r="J48" s="338">
        <f>IFERROR($F48/'List Values'!$B$12, "")</f>
        <v>1.0681236255709502E-9</v>
      </c>
      <c r="K48" s="339">
        <f>IFERROR($F48/'List Values'!$B$13, "")</f>
        <v>1.0681236255709502E-10</v>
      </c>
      <c r="L48" s="333"/>
      <c r="M48" s="77"/>
      <c r="N48" s="564"/>
      <c r="O48" s="293" t="s">
        <v>27</v>
      </c>
      <c r="P48" s="602"/>
      <c r="Q48" s="321">
        <f>IFERROR($N$47*$S11, "")</f>
        <v>1.3456E-5</v>
      </c>
      <c r="R48" s="321">
        <f>IFERROR($N$47*$S13, "")</f>
        <v>2.6911999999999997E-6</v>
      </c>
      <c r="S48" s="321">
        <f>IFERROR($N$47*$S15, "")</f>
        <v>1.3455999999999999E-6</v>
      </c>
      <c r="T48" s="321">
        <f>IFERROR($N$47*$S17, "")</f>
        <v>6.7279999999999994E-7</v>
      </c>
    </row>
    <row r="49" spans="2:19" ht="33" customHeight="1" x14ac:dyDescent="0.2">
      <c r="B49" s="79"/>
      <c r="M49" s="77"/>
    </row>
    <row r="50" spans="2:19" ht="33" customHeight="1" x14ac:dyDescent="0.2">
      <c r="B50" s="79"/>
      <c r="M50" s="77"/>
    </row>
    <row r="51" spans="2:19" ht="33" customHeight="1" x14ac:dyDescent="0.2">
      <c r="B51" s="79"/>
      <c r="M51" s="77"/>
    </row>
    <row r="52" spans="2:19" ht="33" customHeight="1" x14ac:dyDescent="0.2">
      <c r="B52" s="79"/>
      <c r="M52" s="77"/>
    </row>
    <row r="53" spans="2:19" ht="33" customHeight="1" x14ac:dyDescent="0.2">
      <c r="B53" s="79"/>
      <c r="M53" s="77"/>
    </row>
    <row r="54" spans="2:19" ht="33" customHeight="1" x14ac:dyDescent="0.2">
      <c r="B54" s="79"/>
      <c r="M54" s="77"/>
    </row>
    <row r="55" spans="2:19" s="85" customFormat="1" ht="21" x14ac:dyDescent="0.35">
      <c r="C55" s="66"/>
      <c r="D55" s="66"/>
      <c r="E55" s="66"/>
      <c r="F55" s="66"/>
      <c r="G55" s="66"/>
      <c r="H55" s="66"/>
      <c r="I55" s="66"/>
      <c r="J55" s="66"/>
      <c r="K55" s="66"/>
      <c r="L55" s="66"/>
      <c r="O55" s="66"/>
      <c r="P55" s="66"/>
      <c r="Q55" s="66"/>
      <c r="R55" s="66"/>
      <c r="S55" s="66"/>
    </row>
    <row r="56" spans="2:19" ht="25.5" customHeight="1" x14ac:dyDescent="0.2">
      <c r="B56" s="82"/>
      <c r="M56" s="90"/>
    </row>
    <row r="57" spans="2:19" ht="14.45" customHeight="1" x14ac:dyDescent="0.2">
      <c r="B57" s="82"/>
      <c r="M57" s="90"/>
    </row>
    <row r="58" spans="2:19" x14ac:dyDescent="0.2">
      <c r="B58" s="82"/>
      <c r="M58" s="89"/>
    </row>
    <row r="59" spans="2:19" x14ac:dyDescent="0.2">
      <c r="B59" s="82"/>
      <c r="M59" s="89"/>
    </row>
    <row r="63" spans="2:19" ht="29.1" customHeight="1" x14ac:dyDescent="0.2"/>
  </sheetData>
  <sheetProtection sheet="1" objects="1" scenarios="1" formatCells="0" formatColumns="0" formatRows="0"/>
  <mergeCells count="77">
    <mergeCell ref="C8:C9"/>
    <mergeCell ref="D8:D9"/>
    <mergeCell ref="N8:N9"/>
    <mergeCell ref="O8:O9"/>
    <mergeCell ref="D10:D11"/>
    <mergeCell ref="N10:N11"/>
    <mergeCell ref="Q20:Q21"/>
    <mergeCell ref="D12:D13"/>
    <mergeCell ref="N12:N13"/>
    <mergeCell ref="N14:N15"/>
    <mergeCell ref="C16:C17"/>
    <mergeCell ref="D16:D17"/>
    <mergeCell ref="E16:E17"/>
    <mergeCell ref="F16:F17"/>
    <mergeCell ref="G16:H16"/>
    <mergeCell ref="N16:N17"/>
    <mergeCell ref="C18:C19"/>
    <mergeCell ref="D18:D19"/>
    <mergeCell ref="N20:N21"/>
    <mergeCell ref="O20:O21"/>
    <mergeCell ref="P20:P21"/>
    <mergeCell ref="O22:O23"/>
    <mergeCell ref="C24:C25"/>
    <mergeCell ref="D24:D25"/>
    <mergeCell ref="N26:N27"/>
    <mergeCell ref="O26:O27"/>
    <mergeCell ref="C22:C23"/>
    <mergeCell ref="D22:D23"/>
    <mergeCell ref="E22:E23"/>
    <mergeCell ref="F22:F23"/>
    <mergeCell ref="G22:H22"/>
    <mergeCell ref="N22:N23"/>
    <mergeCell ref="Q32:Q33"/>
    <mergeCell ref="Q26:Q27"/>
    <mergeCell ref="C28:C29"/>
    <mergeCell ref="D28:D29"/>
    <mergeCell ref="E28:E29"/>
    <mergeCell ref="F28:F29"/>
    <mergeCell ref="G28:H28"/>
    <mergeCell ref="N28:N29"/>
    <mergeCell ref="O28:O29"/>
    <mergeCell ref="P26:P27"/>
    <mergeCell ref="C30:C31"/>
    <mergeCell ref="D30:D31"/>
    <mergeCell ref="N32:N33"/>
    <mergeCell ref="O32:O33"/>
    <mergeCell ref="P32:P33"/>
    <mergeCell ref="Q34:Q35"/>
    <mergeCell ref="B39:B40"/>
    <mergeCell ref="C39:C40"/>
    <mergeCell ref="D39:D40"/>
    <mergeCell ref="E39:E40"/>
    <mergeCell ref="F39:K39"/>
    <mergeCell ref="N39:N40"/>
    <mergeCell ref="O39:O40"/>
    <mergeCell ref="P39:P40"/>
    <mergeCell ref="Q39:T39"/>
    <mergeCell ref="B43:B44"/>
    <mergeCell ref="C43:C44"/>
    <mergeCell ref="N43:N44"/>
    <mergeCell ref="N34:N35"/>
    <mergeCell ref="O34:O35"/>
    <mergeCell ref="B41:B42"/>
    <mergeCell ref="C41:C42"/>
    <mergeCell ref="N41:N42"/>
    <mergeCell ref="P45:P46"/>
    <mergeCell ref="Q45:T45"/>
    <mergeCell ref="B47:B48"/>
    <mergeCell ref="C47:C48"/>
    <mergeCell ref="N47:N48"/>
    <mergeCell ref="P47:P48"/>
    <mergeCell ref="C45:C46"/>
    <mergeCell ref="D45:D46"/>
    <mergeCell ref="E45:E46"/>
    <mergeCell ref="F45:K45"/>
    <mergeCell ref="N45:N46"/>
    <mergeCell ref="O45:O46"/>
  </mergeCells>
  <conditionalFormatting sqref="E10:L13">
    <cfRule type="cellIs" dxfId="758" priority="23" operator="greaterThan">
      <formula>10</formula>
    </cfRule>
    <cfRule type="cellIs" dxfId="757" priority="17" operator="lessThanOrEqual">
      <formula>0.1</formula>
    </cfRule>
    <cfRule type="containsBlanks" dxfId="756" priority="18" stopIfTrue="1">
      <formula>LEN(TRIM(E10))=0</formula>
    </cfRule>
    <cfRule type="cellIs" dxfId="755" priority="19" operator="equal">
      <formula>0</formula>
    </cfRule>
    <cfRule type="cellIs" dxfId="754" priority="13" operator="greaterThanOrEqual">
      <formula>10000</formula>
    </cfRule>
    <cfRule type="cellIs" dxfId="753" priority="20" operator="lessThan">
      <formula>0.1</formula>
    </cfRule>
    <cfRule type="cellIs" dxfId="752" priority="21" operator="between">
      <formula>0.1</formula>
      <formula>0.999</formula>
    </cfRule>
    <cfRule type="cellIs" dxfId="751" priority="22" operator="between">
      <formula>1</formula>
      <formula>10</formula>
    </cfRule>
    <cfRule type="cellIs" dxfId="750" priority="24" operator="greaterThan">
      <formula>10000</formula>
    </cfRule>
    <cfRule type="cellIs" dxfId="749" priority="14" operator="greaterThanOrEqual">
      <formula>10</formula>
    </cfRule>
    <cfRule type="cellIs" dxfId="748" priority="15" operator="between">
      <formula>1</formula>
      <formula>9.999</formula>
    </cfRule>
    <cfRule type="cellIs" dxfId="747" priority="16" operator="between">
      <formula>0.1</formula>
      <formula>0.999</formula>
    </cfRule>
  </conditionalFormatting>
  <conditionalFormatting sqref="F41:K42">
    <cfRule type="cellIs" dxfId="746" priority="69" operator="greaterThanOrEqual">
      <formula>$E$41</formula>
    </cfRule>
    <cfRule type="cellIs" dxfId="745" priority="70" operator="lessThan">
      <formula>$E$43</formula>
    </cfRule>
  </conditionalFormatting>
  <conditionalFormatting sqref="F43:K44">
    <cfRule type="cellIs" dxfId="744" priority="67" operator="greaterThanOrEqual">
      <formula>$E$43</formula>
    </cfRule>
    <cfRule type="cellIs" dxfId="743" priority="68" operator="lessThan">
      <formula>$E$43</formula>
    </cfRule>
  </conditionalFormatting>
  <conditionalFormatting sqref="F48:K48">
    <cfRule type="cellIs" dxfId="742" priority="49" operator="between">
      <formula>1</formula>
      <formula>9.999</formula>
    </cfRule>
    <cfRule type="cellIs" dxfId="741" priority="50" operator="between">
      <formula>0.1</formula>
      <formula>0.999</formula>
    </cfRule>
    <cfRule type="containsBlanks" dxfId="740" priority="51" stopIfTrue="1">
      <formula>LEN(TRIM(F48))=0</formula>
    </cfRule>
    <cfRule type="cellIs" dxfId="739" priority="52" operator="greaterThanOrEqual">
      <formula>0.0001</formula>
    </cfRule>
  </conditionalFormatting>
  <conditionalFormatting sqref="F41:L44">
    <cfRule type="cellIs" dxfId="738" priority="61" operator="greaterThanOrEqual">
      <formula>10000</formula>
    </cfRule>
    <cfRule type="cellIs" dxfId="737" priority="62" operator="greaterThanOrEqual">
      <formula>10</formula>
    </cfRule>
    <cfRule type="cellIs" dxfId="736" priority="64" operator="between">
      <formula>0.1</formula>
      <formula>0.999</formula>
    </cfRule>
    <cfRule type="cellIs" dxfId="735" priority="65" operator="lessThanOrEqual">
      <formula>0.1</formula>
    </cfRule>
    <cfRule type="containsBlanks" dxfId="734" priority="66" stopIfTrue="1">
      <formula>LEN(TRIM(F41))=0</formula>
    </cfRule>
    <cfRule type="cellIs" dxfId="733" priority="63" operator="between">
      <formula>1</formula>
      <formula>9.999</formula>
    </cfRule>
  </conditionalFormatting>
  <conditionalFormatting sqref="F47:L47">
    <cfRule type="containsBlanks" dxfId="732" priority="76" stopIfTrue="1">
      <formula>LEN(TRIM(F47))=0</formula>
    </cfRule>
    <cfRule type="cellIs" dxfId="731" priority="74" operator="between">
      <formula>0.1</formula>
      <formula>0.999</formula>
    </cfRule>
    <cfRule type="cellIs" dxfId="730" priority="73" operator="between">
      <formula>1</formula>
      <formula>9.999</formula>
    </cfRule>
    <cfRule type="cellIs" dxfId="729" priority="77" operator="greaterThanOrEqual">
      <formula>0.0001</formula>
    </cfRule>
  </conditionalFormatting>
  <conditionalFormatting sqref="F47:L48">
    <cfRule type="cellIs" dxfId="728" priority="71" operator="greaterThanOrEqual">
      <formula>10000</formula>
    </cfRule>
    <cfRule type="cellIs" dxfId="727" priority="72" operator="greaterThanOrEqual">
      <formula>10</formula>
    </cfRule>
  </conditionalFormatting>
  <conditionalFormatting sqref="F48:L48">
    <cfRule type="cellIs" dxfId="726" priority="75" operator="lessThanOrEqual">
      <formula>0.1</formula>
    </cfRule>
  </conditionalFormatting>
  <conditionalFormatting sqref="G18:L19 G24:L25">
    <cfRule type="cellIs" dxfId="725" priority="118" operator="greaterThanOrEqual">
      <formula>10000</formula>
    </cfRule>
    <cfRule type="cellIs" dxfId="724" priority="124" operator="lessThan">
      <formula>$F18</formula>
    </cfRule>
    <cfRule type="cellIs" dxfId="723" priority="119" operator="greaterThanOrEqual">
      <formula>10</formula>
    </cfRule>
    <cfRule type="cellIs" dxfId="722" priority="120" operator="between">
      <formula>1</formula>
      <formula>9.999</formula>
    </cfRule>
    <cfRule type="cellIs" dxfId="721" priority="121" operator="between">
      <formula>0.1</formula>
      <formula>0.999</formula>
    </cfRule>
    <cfRule type="cellIs" dxfId="720" priority="122" operator="lessThanOrEqual">
      <formula>0.1</formula>
    </cfRule>
    <cfRule type="containsBlanks" dxfId="719" priority="123" stopIfTrue="1">
      <formula>LEN(TRIM(G18))=0</formula>
    </cfRule>
  </conditionalFormatting>
  <conditionalFormatting sqref="G30:L31 R34:R35">
    <cfRule type="cellIs" dxfId="718" priority="117" operator="greaterThan">
      <formula>0.0001</formula>
    </cfRule>
  </conditionalFormatting>
  <conditionalFormatting sqref="G30:L31">
    <cfRule type="cellIs" dxfId="717" priority="113" operator="between">
      <formula>0.1</formula>
      <formula>0.999</formula>
    </cfRule>
    <cfRule type="cellIs" dxfId="716" priority="110" operator="greaterThanOrEqual">
      <formula>10000</formula>
    </cfRule>
    <cfRule type="cellIs" dxfId="715" priority="112" operator="between">
      <formula>1</formula>
      <formula>9.999</formula>
    </cfRule>
    <cfRule type="cellIs" dxfId="714" priority="114" operator="lessThanOrEqual">
      <formula>0.1</formula>
    </cfRule>
    <cfRule type="containsBlanks" dxfId="713" priority="115" stopIfTrue="1">
      <formula>LEN(TRIM(G30))=0</formula>
    </cfRule>
    <cfRule type="cellIs" dxfId="712" priority="116" operator="equal">
      <formula>0</formula>
    </cfRule>
    <cfRule type="cellIs" dxfId="711" priority="111" operator="greaterThanOrEqual">
      <formula>10</formula>
    </cfRule>
  </conditionalFormatting>
  <conditionalFormatting sqref="L41:L42">
    <cfRule type="cellIs" dxfId="710" priority="89" operator="greaterThanOrEqual">
      <formula>$E$45</formula>
    </cfRule>
    <cfRule type="cellIs" dxfId="709" priority="90" operator="lessThan">
      <formula>$E$45</formula>
    </cfRule>
  </conditionalFormatting>
  <conditionalFormatting sqref="L43:L44">
    <cfRule type="cellIs" dxfId="708" priority="87" operator="greaterThanOrEqual">
      <formula>$E$49</formula>
    </cfRule>
    <cfRule type="cellIs" dxfId="707" priority="88" operator="lessThan">
      <formula>$E$49</formula>
    </cfRule>
  </conditionalFormatting>
  <conditionalFormatting sqref="L47">
    <cfRule type="cellIs" dxfId="706" priority="85" operator="between">
      <formula>0.00001</formula>
      <formula>0.0001</formula>
    </cfRule>
    <cfRule type="cellIs" dxfId="705" priority="86" operator="between">
      <formula>0.000001</formula>
      <formula>0.00001</formula>
    </cfRule>
  </conditionalFormatting>
  <conditionalFormatting sqref="P10:S17">
    <cfRule type="cellIs" dxfId="704" priority="11" operator="greaterThan">
      <formula>10</formula>
    </cfRule>
    <cfRule type="cellIs" dxfId="703" priority="12" operator="greaterThan">
      <formula>10000</formula>
    </cfRule>
    <cfRule type="cellIs" dxfId="702" priority="1" operator="greaterThanOrEqual">
      <formula>10000</formula>
    </cfRule>
    <cfRule type="cellIs" dxfId="701" priority="2" operator="greaterThanOrEqual">
      <formula>10</formula>
    </cfRule>
    <cfRule type="cellIs" dxfId="700" priority="3" operator="between">
      <formula>1</formula>
      <formula>9.999</formula>
    </cfRule>
    <cfRule type="cellIs" dxfId="699" priority="4" operator="between">
      <formula>0.1</formula>
      <formula>0.999</formula>
    </cfRule>
    <cfRule type="cellIs" dxfId="698" priority="5" operator="lessThanOrEqual">
      <formula>0.1</formula>
    </cfRule>
    <cfRule type="containsBlanks" dxfId="697" priority="6" stopIfTrue="1">
      <formula>LEN(TRIM(P10))=0</formula>
    </cfRule>
    <cfRule type="cellIs" dxfId="696" priority="7" operator="equal">
      <formula>0</formula>
    </cfRule>
    <cfRule type="cellIs" dxfId="695" priority="8" operator="lessThan">
      <formula>0.1</formula>
    </cfRule>
    <cfRule type="cellIs" dxfId="694" priority="9" operator="between">
      <formula>0.1</formula>
      <formula>0.999</formula>
    </cfRule>
    <cfRule type="cellIs" dxfId="693" priority="10" operator="between">
      <formula>1</formula>
      <formula>10</formula>
    </cfRule>
  </conditionalFormatting>
  <conditionalFormatting sqref="Q41:T44">
    <cfRule type="cellIs" dxfId="692" priority="58" operator="lessThanOrEqual">
      <formula>0.1</formula>
    </cfRule>
    <cfRule type="cellIs" dxfId="691" priority="57" operator="greaterThanOrEqual">
      <formula>10</formula>
    </cfRule>
    <cfRule type="cellIs" dxfId="690" priority="56" operator="greaterThanOrEqual">
      <formula>10000</formula>
    </cfRule>
    <cfRule type="containsBlanks" dxfId="689" priority="55" stopIfTrue="1">
      <formula>LEN(TRIM(Q41))=0</formula>
    </cfRule>
    <cfRule type="cellIs" dxfId="688" priority="54" operator="between">
      <formula>0.1</formula>
      <formula>0.999</formula>
    </cfRule>
    <cfRule type="cellIs" dxfId="687" priority="53" operator="between">
      <formula>1</formula>
      <formula>9.999</formula>
    </cfRule>
  </conditionalFormatting>
  <conditionalFormatting sqref="Q42:T42">
    <cfRule type="cellIs" dxfId="686" priority="83" operator="greaterThanOrEqual">
      <formula>$P$41</formula>
    </cfRule>
    <cfRule type="cellIs" dxfId="685" priority="84" operator="lessThan">
      <formula>$P$41</formula>
    </cfRule>
  </conditionalFormatting>
  <conditionalFormatting sqref="Q43:T44">
    <cfRule type="cellIs" dxfId="684" priority="60" operator="lessThan">
      <formula>$P$43</formula>
    </cfRule>
    <cfRule type="cellIs" dxfId="683" priority="59" operator="greaterThanOrEqual">
      <formula>$P$43</formula>
    </cfRule>
  </conditionalFormatting>
  <conditionalFormatting sqref="Q47:T48">
    <cfRule type="cellIs" dxfId="682" priority="78" operator="greaterThan">
      <formula>100</formula>
    </cfRule>
    <cfRule type="cellIs" dxfId="681" priority="79" operator="between">
      <formula>1</formula>
      <formula>100</formula>
    </cfRule>
    <cfRule type="cellIs" dxfId="680" priority="80" operator="lessThanOrEqual">
      <formula>0.1</formula>
    </cfRule>
    <cfRule type="containsBlanks" dxfId="679" priority="81" stopIfTrue="1">
      <formula>LEN(TRIM(Q47))=0</formula>
    </cfRule>
    <cfRule type="cellIs" dxfId="678" priority="82" operator="greaterThanOrEqual">
      <formula>0.0001</formula>
    </cfRule>
  </conditionalFormatting>
  <conditionalFormatting sqref="R22:R23 R28:R29">
    <cfRule type="cellIs" dxfId="677" priority="103" operator="greaterThanOrEqual">
      <formula>10000</formula>
    </cfRule>
    <cfRule type="cellIs" dxfId="676" priority="104" operator="greaterThanOrEqual">
      <formula>10</formula>
    </cfRule>
    <cfRule type="cellIs" dxfId="675" priority="105" operator="between">
      <formula>1</formula>
      <formula>9.999</formula>
    </cfRule>
    <cfRule type="cellIs" dxfId="674" priority="106" operator="between">
      <formula>0.1</formula>
      <formula>0.999</formula>
    </cfRule>
    <cfRule type="cellIs" dxfId="673" priority="107" operator="lessThanOrEqual">
      <formula>0.1</formula>
    </cfRule>
    <cfRule type="containsBlanks" dxfId="672" priority="108" stopIfTrue="1">
      <formula>LEN(TRIM(R22))=0</formula>
    </cfRule>
    <cfRule type="cellIs" dxfId="671" priority="109" operator="lessThan">
      <formula>$Q22</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9CC32-A485-4DF4-843D-57BF0F644A56}">
  <sheetPr codeName="Sheet18"/>
  <dimension ref="A1:P63"/>
  <sheetViews>
    <sheetView workbookViewId="0">
      <selection activeCell="N9" sqref="N9"/>
    </sheetView>
  </sheetViews>
  <sheetFormatPr defaultColWidth="8.7109375" defaultRowHeight="12.75" x14ac:dyDescent="0.2"/>
  <cols>
    <col min="1" max="1" width="7.5703125" style="66" customWidth="1"/>
    <col min="2" max="2" width="35.42578125" style="66" customWidth="1"/>
    <col min="3" max="3" width="9.85546875" style="66" customWidth="1"/>
    <col min="4" max="4" width="16.28515625" style="66" customWidth="1"/>
    <col min="5" max="5" width="13.140625" style="66" customWidth="1"/>
    <col min="6" max="7" width="15.85546875" style="66" customWidth="1"/>
    <col min="8" max="8" width="8.7109375" style="66"/>
    <col min="9" max="9" width="24.85546875" style="66" customWidth="1"/>
    <col min="10" max="14" width="14.85546875" style="66" customWidth="1"/>
    <col min="15" max="16384" width="8.7109375" style="66"/>
  </cols>
  <sheetData>
    <row r="1" spans="1:16" ht="21" x14ac:dyDescent="0.35">
      <c r="B1" s="83"/>
    </row>
    <row r="2" spans="1:16" ht="21" x14ac:dyDescent="0.35">
      <c r="B2" s="83" t="s">
        <v>3</v>
      </c>
      <c r="I2" s="68"/>
      <c r="P2" s="67"/>
    </row>
    <row r="3" spans="1:16" ht="15.75" x14ac:dyDescent="0.25">
      <c r="B3" s="67"/>
      <c r="I3" s="68"/>
      <c r="P3" s="67"/>
    </row>
    <row r="4" spans="1:16" ht="21" x14ac:dyDescent="0.35">
      <c r="B4" s="84" t="s">
        <v>83</v>
      </c>
      <c r="C4" s="85"/>
      <c r="D4" s="85"/>
      <c r="E4" s="85"/>
      <c r="F4" s="85"/>
      <c r="G4" s="85"/>
      <c r="H4" s="85"/>
      <c r="I4" s="84" t="s">
        <v>29</v>
      </c>
      <c r="P4" s="67"/>
    </row>
    <row r="5" spans="1:16" ht="21" x14ac:dyDescent="0.35">
      <c r="B5" s="85"/>
      <c r="C5" s="85"/>
      <c r="D5" s="85"/>
      <c r="E5" s="85"/>
      <c r="F5" s="85"/>
      <c r="G5" s="85"/>
      <c r="H5" s="85"/>
      <c r="I5" s="83"/>
      <c r="P5" s="67"/>
    </row>
    <row r="6" spans="1:16" ht="21" x14ac:dyDescent="0.35">
      <c r="B6" s="83" t="s">
        <v>84</v>
      </c>
      <c r="C6" s="85"/>
      <c r="D6" s="85"/>
      <c r="E6" s="85"/>
      <c r="F6" s="85"/>
      <c r="G6" s="85"/>
      <c r="H6" s="85"/>
      <c r="I6" s="83" t="s">
        <v>84</v>
      </c>
      <c r="P6" s="67"/>
    </row>
    <row r="7" spans="1:16" ht="15.75" x14ac:dyDescent="0.25">
      <c r="B7" s="67"/>
      <c r="I7" s="68"/>
      <c r="P7" s="67"/>
    </row>
    <row r="8" spans="1:16" ht="38.25" x14ac:dyDescent="0.25">
      <c r="B8" s="592" t="s">
        <v>85</v>
      </c>
      <c r="C8" s="593" t="s">
        <v>23</v>
      </c>
      <c r="D8" s="411" t="s">
        <v>86</v>
      </c>
      <c r="E8" s="411" t="s">
        <v>87</v>
      </c>
      <c r="F8" s="411" t="s">
        <v>89</v>
      </c>
      <c r="G8" s="411" t="s">
        <v>90</v>
      </c>
      <c r="H8" s="1"/>
      <c r="I8" s="592" t="s">
        <v>85</v>
      </c>
      <c r="J8" s="592" t="s">
        <v>23</v>
      </c>
      <c r="K8" s="411" t="s">
        <v>91</v>
      </c>
      <c r="L8" s="411" t="s">
        <v>92</v>
      </c>
      <c r="M8" s="411" t="s">
        <v>94</v>
      </c>
      <c r="N8" s="411" t="s">
        <v>95</v>
      </c>
      <c r="P8" s="67"/>
    </row>
    <row r="9" spans="1:16" ht="27" x14ac:dyDescent="0.25">
      <c r="B9" s="592"/>
      <c r="C9" s="593"/>
      <c r="D9" s="411" t="s">
        <v>168</v>
      </c>
      <c r="E9" s="411" t="s">
        <v>169</v>
      </c>
      <c r="F9" s="411" t="s">
        <v>170</v>
      </c>
      <c r="G9" s="411" t="s">
        <v>171</v>
      </c>
      <c r="H9" s="1"/>
      <c r="I9" s="592"/>
      <c r="J9" s="592"/>
      <c r="K9" s="411" t="s">
        <v>100</v>
      </c>
      <c r="L9" s="411" t="s">
        <v>172</v>
      </c>
      <c r="M9" s="411" t="s">
        <v>173</v>
      </c>
      <c r="N9" s="411" t="s">
        <v>508</v>
      </c>
      <c r="P9" s="67"/>
    </row>
    <row r="10" spans="1:16" ht="15.75" x14ac:dyDescent="0.25">
      <c r="B10" s="88" t="s">
        <v>30</v>
      </c>
      <c r="C10" s="594" t="s">
        <v>103</v>
      </c>
      <c r="D10" s="316">
        <f>INDEX('Inhalation Exposures'!$I$7:$I$74, MATCH(PCE_product!$B$2, 'Inhalation Exposures'!$A$7:$A$74, 0))</f>
        <v>1.5486729548848559E-4</v>
      </c>
      <c r="E10" s="316">
        <f>INDEX('Inhalation Exposures'!$K7:$K74, MATCH(PCE_product!$B$2, 'Inhalation Exposures'!$A$7:$A$74, 0))</f>
        <v>1.0535190169284734E-4</v>
      </c>
      <c r="F10" s="316">
        <f>INDEX('Inhalation Exposures'!$O$7:$O$74, MATCH(PCE_product!$B$2, 'Inhalation Exposures'!$A$7:$A$74, 0))</f>
        <v>3.5357830020202187E-5</v>
      </c>
      <c r="G10" s="316">
        <f>INDEX('Inhalation Exposures'!$Q$7:$Q$74, MATCH(PCE_product!$B$2, 'Inhalation Exposures'!$A$7:$A$74, 0))</f>
        <v>3.7004531679960428E-5</v>
      </c>
      <c r="H10" s="1"/>
      <c r="I10" s="595" t="s">
        <v>104</v>
      </c>
      <c r="J10" s="412" t="s">
        <v>103</v>
      </c>
      <c r="K10" s="316">
        <f>INDEX('Dermal Exposures'!$J$5:$J$34, MATCH(PCE_product!$B$2, 'Dermal Exposures'!$A$5:$A$34, 0))</f>
        <v>4.3816499999999994E-2</v>
      </c>
      <c r="L10" s="316">
        <f>INDEX('Dermal Exposures'!$K$5:$K$34, MATCH(PCE_product!$B$2, 'Dermal Exposures'!$A$5:$A$34, 0))</f>
        <v>5.4770624999999989E-4</v>
      </c>
      <c r="M10" s="316">
        <f>INDEX('Dermal Exposures'!$M$5:$M$34, MATCH(PCE_product!$B$2, 'Dermal Exposures'!$A$5:$A$34, 0))</f>
        <v>3.7514126712328758E-4</v>
      </c>
      <c r="N10" s="316">
        <f>INDEX('Dermal Exposures'!$N$5:$N$34, MATCH(PCE_product!$B$2, 'Dermal Exposures'!$A$5:$A$34, 0))</f>
        <v>1.9238013698630134E-4</v>
      </c>
      <c r="P10" s="67"/>
    </row>
    <row r="11" spans="1:16" ht="15.75" x14ac:dyDescent="0.25">
      <c r="B11" s="88" t="s">
        <v>28</v>
      </c>
      <c r="C11" s="594"/>
      <c r="D11" s="316">
        <f>INDEX('Inhalation Exposures'!$I$20:$I$81, MATCH(PCE_product!$B$2, 'Inhalation Exposures'!$A$20:$A$81, 0))</f>
        <v>3.3943516819394108E-5</v>
      </c>
      <c r="E11" s="316">
        <f>INDEX('Inhalation Exposures'!$K$20:$K$81, MATCH(PCE_product!$B$2, 'Inhalation Exposures'!$A$20:$A$81, 0))</f>
        <v>2.3090827768295312E-5</v>
      </c>
      <c r="F11" s="316">
        <f>INDEX('Inhalation Exposures'!$O$20:$O$81, MATCH(PCE_product!$B$2, 'Inhalation Exposures'!$A$20:$A$81, 0))</f>
        <v>7.7496613742908927E-6</v>
      </c>
      <c r="G11" s="316">
        <f>INDEX('Inhalation Exposures'!$Q$20:$Q$81, MATCH(PCE_product!$B$2, 'Inhalation Exposures'!$A$20:$A$81, 0))</f>
        <v>8.1105822860187256E-6</v>
      </c>
      <c r="H11" s="1"/>
      <c r="I11" s="595"/>
      <c r="J11" s="412" t="s">
        <v>27</v>
      </c>
      <c r="K11" s="316">
        <f>INDEX('Dermal Exposures'!$O$5:$O$34, MATCH(PCE_product!$B$2, 'Dermal Exposures'!$A$5:$A$34, 0))</f>
        <v>1.4605499999999999E-2</v>
      </c>
      <c r="L11" s="316">
        <f>INDEX('Dermal Exposures'!$P$5:$P$34, MATCH(PCE_product!$B$2, 'Dermal Exposures'!$A$5:$A$34, 0))</f>
        <v>1.8256874999999999E-4</v>
      </c>
      <c r="M11" s="316">
        <f>INDEX('Dermal Exposures'!$R$5:$R$34, MATCH(PCE_product!$B$2, 'Dermal Exposures'!$A$5:$A$34, 0))</f>
        <v>1.250470890410959E-4</v>
      </c>
      <c r="N11" s="316">
        <f>INDEX('Dermal Exposures'!$S$5:$S$34, MATCH(PCE_product!$B$2, 'Dermal Exposures'!$A$5:$A$34, 0))</f>
        <v>4.9698202054794524E-5</v>
      </c>
      <c r="P11" s="67"/>
    </row>
    <row r="12" spans="1:16" ht="15.75" x14ac:dyDescent="0.25">
      <c r="B12" s="88" t="s">
        <v>30</v>
      </c>
      <c r="C12" s="591" t="s">
        <v>27</v>
      </c>
      <c r="D12" s="316">
        <f>INDEX('Inhalation Exposures'!$J$7:$J$74, MATCH(PCE_product!$B$2, 'Inhalation Exposures'!$A$7:$A$74, 0))</f>
        <v>1.0183055045818231E-5</v>
      </c>
      <c r="E12" s="316">
        <f>INDEX('Inhalation Exposures'!$L$7:$L$74, MATCH(PCE_product!$B$2, 'Inhalation Exposures'!$A$7:$A$74, 0))</f>
        <v>6.9272483304885924E-6</v>
      </c>
      <c r="F12" s="316">
        <f>INDEX('Inhalation Exposures'!$P$7:$P$74, MATCH(PCE_product!$B$2, 'Inhalation Exposures'!$A$7:$A$74, 0))</f>
        <v>2.3248984122872671E-6</v>
      </c>
      <c r="G12" s="316">
        <f>INDEX('Inhalation Exposures'!$R$7:$R$74, MATCH(PCE_product!$B$2, 'Inhalation Exposures'!$A$7:$A$74, 0))</f>
        <v>1.8857103814993535E-6</v>
      </c>
      <c r="H12" s="1"/>
      <c r="I12" s="68"/>
      <c r="P12" s="67"/>
    </row>
    <row r="13" spans="1:16" ht="15.75" x14ac:dyDescent="0.25">
      <c r="B13" s="88" t="s">
        <v>28</v>
      </c>
      <c r="C13" s="591"/>
      <c r="D13" s="316">
        <f>INDEX('Inhalation Exposures'!$J$20:$J$81, MATCH(PCE_product!$B$2, 'Inhalation Exposures'!$A$20:$A$81, 0))</f>
        <v>2.9700577216969839E-7</v>
      </c>
      <c r="E13" s="316">
        <f>INDEX('Inhalation Exposures'!$L$20:$L$81, MATCH(PCE_product!$B$2, 'Inhalation Exposures'!$A$20:$A$81, 0))</f>
        <v>2.0204474297258395E-7</v>
      </c>
      <c r="F13" s="316">
        <f>INDEX('Inhalation Exposures'!$P$20:$P$81, MATCH(PCE_product!$B$2, 'Inhalation Exposures'!$A$20:$A$81, 0))</f>
        <v>6.7809537025045293E-8</v>
      </c>
      <c r="G13" s="316">
        <f>INDEX('Inhalation Exposures'!$R$20:$R$81, MATCH(PCE_product!$B$2, 'Inhalation Exposures'!$A$20:$A$81, 0))</f>
        <v>5.4999886127064471E-8</v>
      </c>
      <c r="H13" s="1"/>
      <c r="I13" s="68"/>
      <c r="P13" s="67"/>
    </row>
    <row r="15" spans="1:16" ht="21" x14ac:dyDescent="0.35">
      <c r="B15" s="83" t="s">
        <v>105</v>
      </c>
      <c r="I15" s="83" t="s">
        <v>113</v>
      </c>
    </row>
    <row r="16" spans="1:16" ht="28.5" customHeight="1" x14ac:dyDescent="0.2">
      <c r="A16" s="70"/>
      <c r="B16" s="568" t="s">
        <v>106</v>
      </c>
      <c r="C16" s="568" t="s">
        <v>107</v>
      </c>
      <c r="D16" s="568" t="s">
        <v>23</v>
      </c>
      <c r="E16" s="568" t="s">
        <v>108</v>
      </c>
      <c r="F16" s="568" t="s">
        <v>109</v>
      </c>
      <c r="G16" s="568"/>
      <c r="I16" s="570" t="s">
        <v>106</v>
      </c>
      <c r="J16" s="570" t="s">
        <v>114</v>
      </c>
      <c r="K16" s="570" t="s">
        <v>23</v>
      </c>
      <c r="L16" s="570" t="s">
        <v>108</v>
      </c>
      <c r="M16" s="411" t="s">
        <v>109</v>
      </c>
    </row>
    <row r="17" spans="1:13" ht="26.1" customHeight="1" x14ac:dyDescent="0.2">
      <c r="A17" s="70"/>
      <c r="B17" s="568"/>
      <c r="C17" s="568"/>
      <c r="D17" s="568"/>
      <c r="E17" s="568"/>
      <c r="F17" s="413" t="s">
        <v>110</v>
      </c>
      <c r="G17" s="413" t="s">
        <v>111</v>
      </c>
      <c r="I17" s="571"/>
      <c r="J17" s="571"/>
      <c r="K17" s="571"/>
      <c r="L17" s="571"/>
      <c r="M17" s="422" t="s">
        <v>116</v>
      </c>
    </row>
    <row r="18" spans="1:13" ht="27.6" customHeight="1" x14ac:dyDescent="0.2">
      <c r="A18" s="70"/>
      <c r="B18" s="587" t="s">
        <v>174</v>
      </c>
      <c r="C18" s="580">
        <f>INDEX('Health Data'!$G:$G,MATCH($B$2,'Health Data'!$B:$B,0))</f>
        <v>1.6956639729827525</v>
      </c>
      <c r="D18" s="71" t="s">
        <v>103</v>
      </c>
      <c r="E18" s="412">
        <v>10</v>
      </c>
      <c r="F18" s="101">
        <f>C18/$E$10</f>
        <v>16095.238393763862</v>
      </c>
      <c r="G18" s="102">
        <f>C18/$E$11</f>
        <v>73434.525171547604</v>
      </c>
      <c r="I18" s="587" t="s">
        <v>175</v>
      </c>
      <c r="J18" s="580">
        <f>INDEX('Health Data'!$K:$K,MATCH($B$2,'Health Data'!$B:$B,0))</f>
        <v>2.1</v>
      </c>
      <c r="K18" s="72" t="s">
        <v>103</v>
      </c>
      <c r="L18" s="412">
        <v>10</v>
      </c>
      <c r="M18" s="101">
        <f>J18/L10</f>
        <v>3834.1720584711247</v>
      </c>
    </row>
    <row r="19" spans="1:13" ht="25.5" customHeight="1" x14ac:dyDescent="0.2">
      <c r="A19" s="70"/>
      <c r="B19" s="588"/>
      <c r="C19" s="555"/>
      <c r="D19" s="71" t="s">
        <v>27</v>
      </c>
      <c r="E19" s="412">
        <v>10</v>
      </c>
      <c r="F19" s="101">
        <f>C18/$E$12</f>
        <v>244781.7505718254</v>
      </c>
      <c r="G19" s="102">
        <f>C18/$E$13</f>
        <v>8392517.1624625847</v>
      </c>
      <c r="I19" s="588"/>
      <c r="J19" s="555"/>
      <c r="K19" s="72" t="s">
        <v>27</v>
      </c>
      <c r="L19" s="412">
        <v>10</v>
      </c>
      <c r="M19" s="101">
        <f>J18/L11</f>
        <v>11502.516175413373</v>
      </c>
    </row>
    <row r="20" spans="1:13" x14ac:dyDescent="0.2">
      <c r="A20" s="73"/>
      <c r="B20" s="74"/>
      <c r="C20" s="75"/>
      <c r="D20" s="76"/>
      <c r="E20" s="75"/>
      <c r="F20" s="77"/>
      <c r="G20" s="77"/>
      <c r="I20" s="74"/>
      <c r="J20" s="78"/>
    </row>
    <row r="21" spans="1:13" s="85" customFormat="1" ht="21" x14ac:dyDescent="0.35">
      <c r="A21" s="83"/>
      <c r="B21" s="83" t="s">
        <v>122</v>
      </c>
      <c r="E21" s="86"/>
      <c r="I21" s="83" t="s">
        <v>125</v>
      </c>
    </row>
    <row r="22" spans="1:13" ht="26.1" customHeight="1" x14ac:dyDescent="0.2">
      <c r="A22" s="79"/>
      <c r="B22" s="568" t="s">
        <v>106</v>
      </c>
      <c r="C22" s="582" t="s">
        <v>107</v>
      </c>
      <c r="D22" s="568" t="s">
        <v>23</v>
      </c>
      <c r="E22" s="568" t="s">
        <v>108</v>
      </c>
      <c r="F22" s="568" t="s">
        <v>123</v>
      </c>
      <c r="G22" s="568"/>
      <c r="I22" s="566" t="s">
        <v>106</v>
      </c>
      <c r="J22" s="566" t="s">
        <v>121</v>
      </c>
      <c r="K22" s="566" t="s">
        <v>23</v>
      </c>
      <c r="L22" s="566" t="s">
        <v>108</v>
      </c>
      <c r="M22" s="411" t="s">
        <v>123</v>
      </c>
    </row>
    <row r="23" spans="1:13" ht="25.5" x14ac:dyDescent="0.2">
      <c r="A23" s="79"/>
      <c r="B23" s="568"/>
      <c r="C23" s="530"/>
      <c r="D23" s="568"/>
      <c r="E23" s="568"/>
      <c r="F23" s="413" t="s">
        <v>110</v>
      </c>
      <c r="G23" s="413" t="s">
        <v>111</v>
      </c>
      <c r="I23" s="581"/>
      <c r="J23" s="567"/>
      <c r="K23" s="567"/>
      <c r="L23" s="567"/>
      <c r="M23" s="411" t="s">
        <v>116</v>
      </c>
    </row>
    <row r="24" spans="1:13" ht="33" customHeight="1" x14ac:dyDescent="0.2">
      <c r="A24" s="79"/>
      <c r="B24" s="577" t="s">
        <v>176</v>
      </c>
      <c r="C24" s="578">
        <f>INDEX('Health Data'!$P:$P,MATCH($B$2,'Health Data'!$B:$B,0))</f>
        <v>5.2049511518514047</v>
      </c>
      <c r="D24" s="72" t="s">
        <v>103</v>
      </c>
      <c r="E24" s="412">
        <v>100</v>
      </c>
      <c r="F24" s="419">
        <f>C24/$F$10</f>
        <v>147207.87867574123</v>
      </c>
      <c r="G24" s="419">
        <f>C24/$F$11</f>
        <v>671635.94645806914</v>
      </c>
      <c r="I24" s="577" t="s">
        <v>177</v>
      </c>
      <c r="J24" s="589">
        <f>INDEX('Health Data'!$T:$T,MATCH($B$2,'Health Data'!$B:$B,0))</f>
        <v>6.2</v>
      </c>
      <c r="K24" s="72" t="s">
        <v>103</v>
      </c>
      <c r="L24" s="412">
        <v>100</v>
      </c>
      <c r="M24" s="108">
        <f>J24/$M$10</f>
        <v>16527.10736822887</v>
      </c>
    </row>
    <row r="25" spans="1:13" ht="33" customHeight="1" x14ac:dyDescent="0.2">
      <c r="A25" s="79"/>
      <c r="B25" s="577"/>
      <c r="C25" s="559"/>
      <c r="D25" s="72" t="s">
        <v>27</v>
      </c>
      <c r="E25" s="412">
        <v>100</v>
      </c>
      <c r="F25" s="419">
        <f>C24/$F$12</f>
        <v>2238786.4881935646</v>
      </c>
      <c r="G25" s="419">
        <f>C24/$F$13</f>
        <v>76758393.880922213</v>
      </c>
      <c r="I25" s="577"/>
      <c r="J25" s="590"/>
      <c r="K25" s="72" t="s">
        <v>27</v>
      </c>
      <c r="L25" s="412">
        <v>100</v>
      </c>
      <c r="M25" s="108">
        <f>J24/$M$11</f>
        <v>49581.322104686587</v>
      </c>
    </row>
    <row r="26" spans="1:13" x14ac:dyDescent="0.2">
      <c r="A26" s="79"/>
      <c r="B26" s="80"/>
      <c r="C26" s="75"/>
      <c r="D26" s="81"/>
      <c r="E26" s="75"/>
      <c r="F26" s="77"/>
      <c r="G26" s="77"/>
    </row>
    <row r="27" spans="1:13" ht="33" customHeight="1" x14ac:dyDescent="0.35">
      <c r="A27" s="79"/>
      <c r="B27" s="83" t="s">
        <v>126</v>
      </c>
      <c r="C27" s="85"/>
      <c r="D27" s="85"/>
      <c r="E27" s="85"/>
      <c r="F27" s="85"/>
      <c r="G27" s="85"/>
      <c r="H27" s="85"/>
      <c r="I27" s="83" t="s">
        <v>126</v>
      </c>
      <c r="J27" s="85"/>
      <c r="K27" s="85"/>
      <c r="L27" s="85"/>
      <c r="M27" s="85"/>
    </row>
    <row r="28" spans="1:13" ht="33" customHeight="1" x14ac:dyDescent="0.2">
      <c r="A28" s="79"/>
      <c r="B28" s="582" t="s">
        <v>127</v>
      </c>
      <c r="C28" s="566" t="s">
        <v>128</v>
      </c>
      <c r="D28" s="566" t="s">
        <v>23</v>
      </c>
      <c r="E28" s="583" t="s">
        <v>129</v>
      </c>
      <c r="F28" s="568" t="s">
        <v>130</v>
      </c>
      <c r="G28" s="568"/>
      <c r="I28" s="566" t="s">
        <v>127</v>
      </c>
      <c r="J28" s="566" t="s">
        <v>133</v>
      </c>
      <c r="K28" s="566" t="s">
        <v>23</v>
      </c>
      <c r="L28" s="566" t="s">
        <v>129</v>
      </c>
      <c r="M28" s="411" t="s">
        <v>130</v>
      </c>
    </row>
    <row r="29" spans="1:13" ht="33" customHeight="1" x14ac:dyDescent="0.2">
      <c r="A29" s="79"/>
      <c r="B29" s="530"/>
      <c r="C29" s="567"/>
      <c r="D29" s="567"/>
      <c r="E29" s="584"/>
      <c r="F29" s="413" t="s">
        <v>131</v>
      </c>
      <c r="G29" s="413" t="s">
        <v>28</v>
      </c>
      <c r="I29" s="567"/>
      <c r="J29" s="581"/>
      <c r="K29" s="567"/>
      <c r="L29" s="567"/>
      <c r="M29" s="411" t="s">
        <v>135</v>
      </c>
    </row>
    <row r="30" spans="1:13" ht="33" customHeight="1" x14ac:dyDescent="0.2">
      <c r="A30" s="79"/>
      <c r="B30" s="572" t="s">
        <v>178</v>
      </c>
      <c r="C30" s="574">
        <f>INDEX('Health Data'!$Y:$Y,MATCH($B$2,'Health Data'!$B:$B,0))</f>
        <v>2.0346012269938647E-3</v>
      </c>
      <c r="D30" s="412" t="s">
        <v>103</v>
      </c>
      <c r="E30" s="107">
        <v>1E-4</v>
      </c>
      <c r="F30" s="107">
        <f>G10*C30</f>
        <v>7.5289465560380824E-8</v>
      </c>
      <c r="G30" s="107">
        <f>G11*C30</f>
        <v>1.6501800670768402E-8</v>
      </c>
      <c r="I30" s="572" t="s">
        <v>178</v>
      </c>
      <c r="J30" s="574">
        <f>INDEX('Health Data'!$AB:$AB,MATCH($B$2,'Health Data'!$B:$B,0))</f>
        <v>2E-3</v>
      </c>
      <c r="K30" s="412" t="s">
        <v>103</v>
      </c>
      <c r="L30" s="561">
        <v>1E-4</v>
      </c>
      <c r="M30" s="107">
        <f>N10*J30</f>
        <v>3.8476027397260267E-7</v>
      </c>
    </row>
    <row r="31" spans="1:13" ht="33" customHeight="1" x14ac:dyDescent="0.2">
      <c r="A31" s="79"/>
      <c r="B31" s="576"/>
      <c r="C31" s="575"/>
      <c r="D31" s="412" t="s">
        <v>27</v>
      </c>
      <c r="E31" s="107">
        <v>1E-4</v>
      </c>
      <c r="F31" s="107">
        <f>G12*C30</f>
        <v>3.8366686559536533E-9</v>
      </c>
      <c r="G31" s="107">
        <f>G13*C30</f>
        <v>1.119028357986482E-10</v>
      </c>
      <c r="I31" s="576"/>
      <c r="J31" s="575"/>
      <c r="K31" s="412" t="s">
        <v>27</v>
      </c>
      <c r="L31" s="596"/>
      <c r="M31" s="107">
        <f>N11*J30</f>
        <v>9.9396404109589052E-8</v>
      </c>
    </row>
    <row r="32" spans="1:13" ht="33" customHeight="1" x14ac:dyDescent="0.2">
      <c r="A32" s="79"/>
    </row>
    <row r="33" spans="1:9" ht="33" customHeight="1" x14ac:dyDescent="0.2">
      <c r="A33" s="79"/>
      <c r="B33" s="68" t="s">
        <v>179</v>
      </c>
      <c r="I33" s="68" t="s">
        <v>157</v>
      </c>
    </row>
    <row r="34" spans="1:9" ht="33" customHeight="1" x14ac:dyDescent="0.2">
      <c r="A34" s="79"/>
    </row>
    <row r="35" spans="1:9" ht="33" customHeight="1" x14ac:dyDescent="0.2">
      <c r="A35" s="79"/>
    </row>
    <row r="36" spans="1:9" ht="33" customHeight="1" x14ac:dyDescent="0.2">
      <c r="A36" s="79"/>
    </row>
    <row r="37" spans="1:9" ht="33" customHeight="1" x14ac:dyDescent="0.2">
      <c r="A37" s="79"/>
    </row>
    <row r="38" spans="1:9" ht="33" customHeight="1" x14ac:dyDescent="0.2">
      <c r="A38" s="79"/>
    </row>
    <row r="39" spans="1:9" ht="33" customHeight="1" x14ac:dyDescent="0.2">
      <c r="A39" s="79"/>
    </row>
    <row r="40" spans="1:9" ht="33" customHeight="1" x14ac:dyDescent="0.2">
      <c r="A40" s="79"/>
    </row>
    <row r="41" spans="1:9" ht="33" customHeight="1" x14ac:dyDescent="0.2">
      <c r="A41" s="79"/>
    </row>
    <row r="42" spans="1:9" ht="33" customHeight="1" x14ac:dyDescent="0.2">
      <c r="A42" s="79"/>
    </row>
    <row r="43" spans="1:9" ht="33" customHeight="1" x14ac:dyDescent="0.2">
      <c r="A43" s="79"/>
    </row>
    <row r="44" spans="1:9" ht="33" customHeight="1" x14ac:dyDescent="0.2">
      <c r="A44" s="79"/>
    </row>
    <row r="45" spans="1:9" ht="33" customHeight="1" x14ac:dyDescent="0.2">
      <c r="A45" s="79"/>
    </row>
    <row r="46" spans="1:9" ht="33" customHeight="1" x14ac:dyDescent="0.2">
      <c r="A46" s="79"/>
    </row>
    <row r="47" spans="1:9" ht="33" customHeight="1" x14ac:dyDescent="0.2">
      <c r="A47" s="79"/>
    </row>
    <row r="48" spans="1:9" ht="33" customHeight="1" x14ac:dyDescent="0.2">
      <c r="A48" s="79"/>
    </row>
    <row r="49" spans="1:13" ht="33" customHeight="1" x14ac:dyDescent="0.2">
      <c r="A49" s="79"/>
    </row>
    <row r="50" spans="1:13" ht="33" customHeight="1" x14ac:dyDescent="0.2">
      <c r="A50" s="79"/>
    </row>
    <row r="51" spans="1:13" ht="33" customHeight="1" x14ac:dyDescent="0.2">
      <c r="A51" s="79"/>
    </row>
    <row r="52" spans="1:13" ht="33" customHeight="1" x14ac:dyDescent="0.2">
      <c r="A52" s="79"/>
    </row>
    <row r="53" spans="1:13" ht="33" customHeight="1" x14ac:dyDescent="0.2">
      <c r="A53" s="79"/>
    </row>
    <row r="54" spans="1:13" ht="33" customHeight="1" x14ac:dyDescent="0.2">
      <c r="A54" s="79"/>
    </row>
    <row r="55" spans="1:13" s="85" customFormat="1" ht="21" x14ac:dyDescent="0.35">
      <c r="B55" s="66"/>
      <c r="C55" s="66"/>
      <c r="D55" s="66"/>
      <c r="E55" s="66"/>
      <c r="F55" s="66"/>
      <c r="G55" s="66"/>
      <c r="I55" s="66"/>
      <c r="J55" s="66"/>
      <c r="K55" s="66"/>
      <c r="L55" s="66"/>
      <c r="M55" s="66"/>
    </row>
    <row r="56" spans="1:13" ht="25.5" customHeight="1" x14ac:dyDescent="0.2">
      <c r="A56" s="82"/>
    </row>
    <row r="57" spans="1:13" ht="14.45" customHeight="1" x14ac:dyDescent="0.2">
      <c r="A57" s="82"/>
    </row>
    <row r="58" spans="1:13" ht="24.95" customHeight="1" x14ac:dyDescent="0.2">
      <c r="A58" s="82"/>
    </row>
    <row r="59" spans="1:13" ht="24.95" customHeight="1" x14ac:dyDescent="0.2">
      <c r="A59" s="82"/>
    </row>
    <row r="63" spans="1:13" ht="29.1" customHeight="1" x14ac:dyDescent="0.2"/>
  </sheetData>
  <sheetProtection sheet="1" objects="1" scenarios="1" formatCells="0" formatColumns="0" formatRows="0"/>
  <mergeCells count="47">
    <mergeCell ref="L28:L29"/>
    <mergeCell ref="I30:I31"/>
    <mergeCell ref="J30:J31"/>
    <mergeCell ref="L30:L31"/>
    <mergeCell ref="F16:G16"/>
    <mergeCell ref="F22:G22"/>
    <mergeCell ref="I28:I29"/>
    <mergeCell ref="J28:J29"/>
    <mergeCell ref="K28:K29"/>
    <mergeCell ref="L16:L17"/>
    <mergeCell ref="J18:J19"/>
    <mergeCell ref="K22:K23"/>
    <mergeCell ref="L22:L23"/>
    <mergeCell ref="I16:I17"/>
    <mergeCell ref="I18:I19"/>
    <mergeCell ref="K16:K17"/>
    <mergeCell ref="B30:B31"/>
    <mergeCell ref="B28:B29"/>
    <mergeCell ref="C28:C29"/>
    <mergeCell ref="D28:D29"/>
    <mergeCell ref="E28:E29"/>
    <mergeCell ref="C30:C31"/>
    <mergeCell ref="F28:G28"/>
    <mergeCell ref="C18:C19"/>
    <mergeCell ref="C24:C25"/>
    <mergeCell ref="D22:D23"/>
    <mergeCell ref="B22:B23"/>
    <mergeCell ref="C22:C23"/>
    <mergeCell ref="J24:J25"/>
    <mergeCell ref="E22:E23"/>
    <mergeCell ref="B24:B25"/>
    <mergeCell ref="B18:B19"/>
    <mergeCell ref="I22:I23"/>
    <mergeCell ref="J22:J23"/>
    <mergeCell ref="I24:I25"/>
    <mergeCell ref="I10:I11"/>
    <mergeCell ref="J8:J9"/>
    <mergeCell ref="I8:I9"/>
    <mergeCell ref="E16:E17"/>
    <mergeCell ref="B8:B9"/>
    <mergeCell ref="C8:C9"/>
    <mergeCell ref="C10:C11"/>
    <mergeCell ref="C12:C13"/>
    <mergeCell ref="B16:B17"/>
    <mergeCell ref="C16:C17"/>
    <mergeCell ref="D16:D17"/>
    <mergeCell ref="J16:J17"/>
  </mergeCells>
  <conditionalFormatting sqref="D10:G13">
    <cfRule type="cellIs" dxfId="670" priority="19" operator="equal">
      <formula>0</formula>
    </cfRule>
    <cfRule type="cellIs" dxfId="669" priority="20" operator="lessThan">
      <formula>0.1</formula>
    </cfRule>
    <cfRule type="cellIs" dxfId="668" priority="21" operator="between">
      <formula>0.1</formula>
      <formula>0.999</formula>
    </cfRule>
    <cfRule type="cellIs" dxfId="667" priority="22" operator="between">
      <formula>1</formula>
      <formula>10</formula>
    </cfRule>
    <cfRule type="cellIs" dxfId="666" priority="23" operator="greaterThan">
      <formula>10</formula>
    </cfRule>
    <cfRule type="cellIs" dxfId="665" priority="24" operator="greaterThan">
      <formula>10000</formula>
    </cfRule>
    <cfRule type="cellIs" dxfId="664" priority="13" operator="greaterThanOrEqual">
      <formula>10000</formula>
    </cfRule>
    <cfRule type="cellIs" dxfId="663" priority="14" operator="greaterThanOrEqual">
      <formula>10</formula>
    </cfRule>
    <cfRule type="cellIs" dxfId="662" priority="15" operator="between">
      <formula>1</formula>
      <formula>9.999</formula>
    </cfRule>
    <cfRule type="cellIs" dxfId="661" priority="16" operator="between">
      <formula>0.1</formula>
      <formula>0.999</formula>
    </cfRule>
    <cfRule type="cellIs" dxfId="660" priority="17" operator="lessThanOrEqual">
      <formula>0.1</formula>
    </cfRule>
    <cfRule type="containsBlanks" dxfId="659" priority="18" stopIfTrue="1">
      <formula>LEN(TRIM(D10))=0</formula>
    </cfRule>
  </conditionalFormatting>
  <conditionalFormatting sqref="F18:G19 F24:G25 F30:G31">
    <cfRule type="containsBlanks" dxfId="658" priority="46" stopIfTrue="1">
      <formula>LEN(TRIM(F18))=0</formula>
    </cfRule>
    <cfRule type="cellIs" dxfId="657" priority="45" operator="lessThanOrEqual">
      <formula>0.1</formula>
    </cfRule>
    <cfRule type="cellIs" dxfId="656" priority="44" operator="between">
      <formula>0.1</formula>
      <formula>0.999</formula>
    </cfRule>
    <cfRule type="cellIs" dxfId="655" priority="43" operator="between">
      <formula>1</formula>
      <formula>9.999</formula>
    </cfRule>
    <cfRule type="cellIs" dxfId="654" priority="41" operator="greaterThanOrEqual">
      <formula>10000</formula>
    </cfRule>
    <cfRule type="cellIs" dxfId="653" priority="42" operator="greaterThanOrEqual">
      <formula>10</formula>
    </cfRule>
  </conditionalFormatting>
  <conditionalFormatting sqref="F18:G19 F24:G25">
    <cfRule type="cellIs" dxfId="652" priority="47" operator="lessThan">
      <formula>$E18</formula>
    </cfRule>
  </conditionalFormatting>
  <conditionalFormatting sqref="F30:G31">
    <cfRule type="cellIs" dxfId="651" priority="33" operator="greaterThan">
      <formula>$C$30</formula>
    </cfRule>
  </conditionalFormatting>
  <conditionalFormatting sqref="K10:N11">
    <cfRule type="cellIs" dxfId="650" priority="1" operator="greaterThanOrEqual">
      <formula>10000</formula>
    </cfRule>
    <cfRule type="cellIs" dxfId="649" priority="2" operator="greaterThanOrEqual">
      <formula>10</formula>
    </cfRule>
    <cfRule type="cellIs" dxfId="648" priority="3" operator="between">
      <formula>1</formula>
      <formula>9.999</formula>
    </cfRule>
    <cfRule type="cellIs" dxfId="647" priority="4" operator="between">
      <formula>0.1</formula>
      <formula>0.999</formula>
    </cfRule>
    <cfRule type="cellIs" dxfId="646" priority="5" operator="lessThanOrEqual">
      <formula>0.1</formula>
    </cfRule>
    <cfRule type="cellIs" dxfId="645" priority="12" operator="greaterThan">
      <formula>10000</formula>
    </cfRule>
    <cfRule type="cellIs" dxfId="644" priority="11" operator="greaterThan">
      <formula>10</formula>
    </cfRule>
    <cfRule type="containsBlanks" dxfId="643" priority="6" stopIfTrue="1">
      <formula>LEN(TRIM(K10))=0</formula>
    </cfRule>
    <cfRule type="cellIs" dxfId="642" priority="10" operator="between">
      <formula>1</formula>
      <formula>10</formula>
    </cfRule>
    <cfRule type="cellIs" dxfId="641" priority="9" operator="between">
      <formula>0.1</formula>
      <formula>0.999</formula>
    </cfRule>
    <cfRule type="cellIs" dxfId="640" priority="8" operator="lessThan">
      <formula>0.1</formula>
    </cfRule>
    <cfRule type="cellIs" dxfId="639" priority="7" operator="equal">
      <formula>0</formula>
    </cfRule>
  </conditionalFormatting>
  <conditionalFormatting sqref="M18:M19 M24:M25">
    <cfRule type="cellIs" dxfId="638" priority="34" operator="greaterThanOrEqual">
      <formula>10000</formula>
    </cfRule>
    <cfRule type="cellIs" dxfId="637" priority="35" operator="greaterThanOrEqual">
      <formula>10</formula>
    </cfRule>
    <cfRule type="cellIs" dxfId="636" priority="36" operator="between">
      <formula>1</formula>
      <formula>9.999</formula>
    </cfRule>
    <cfRule type="cellIs" dxfId="635" priority="38" operator="lessThanOrEqual">
      <formula>0.1</formula>
    </cfRule>
    <cfRule type="containsBlanks" dxfId="634" priority="39" stopIfTrue="1">
      <formula>LEN(TRIM(M18))=0</formula>
    </cfRule>
    <cfRule type="cellIs" dxfId="633" priority="40" operator="lessThan">
      <formula>$L18</formula>
    </cfRule>
    <cfRule type="cellIs" dxfId="632" priority="37" operator="between">
      <formula>0.1</formula>
      <formula>0.999</formula>
    </cfRule>
  </conditionalFormatting>
  <conditionalFormatting sqref="M30:M31">
    <cfRule type="cellIs" dxfId="631" priority="25" operator="greaterThan">
      <formula>$L$28</formula>
    </cfRule>
    <cfRule type="cellIs" dxfId="630" priority="26" operator="greaterThanOrEqual">
      <formula>10000</formula>
    </cfRule>
    <cfRule type="cellIs" dxfId="629" priority="27" operator="greaterThanOrEqual">
      <formula>10</formula>
    </cfRule>
    <cfRule type="cellIs" dxfId="628" priority="28" operator="between">
      <formula>1</formula>
      <formula>9.999</formula>
    </cfRule>
    <cfRule type="cellIs" dxfId="627" priority="29" operator="between">
      <formula>0.1</formula>
      <formula>0.999</formula>
    </cfRule>
    <cfRule type="cellIs" dxfId="626" priority="30" operator="lessThanOrEqual">
      <formula>0.1</formula>
    </cfRule>
    <cfRule type="containsBlanks" dxfId="625" priority="31" stopIfTrue="1">
      <formula>LEN(TRIM(M30))=0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B996-4D33-4E9F-B78C-0973E81F7692}">
  <sheetPr codeName="Sheet19"/>
  <dimension ref="B1:U63"/>
  <sheetViews>
    <sheetView topLeftCell="E1" workbookViewId="0">
      <selection activeCell="S9" sqref="S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12" width="15.85546875" style="66" customWidth="1"/>
    <col min="13" max="13" width="12.85546875" style="66" customWidth="1"/>
    <col min="14" max="14" width="19.7109375" style="66" customWidth="1"/>
    <col min="15" max="15" width="15.42578125" style="66" bestFit="1" customWidth="1"/>
    <col min="16" max="19" width="14.85546875" style="66" customWidth="1"/>
    <col min="20" max="21" width="13.5703125" style="66" customWidth="1"/>
    <col min="22" max="16384" width="8.7109375" style="66"/>
  </cols>
  <sheetData>
    <row r="1" spans="2:21" ht="21" x14ac:dyDescent="0.35">
      <c r="C1" s="83"/>
    </row>
    <row r="2" spans="2:21" ht="21" x14ac:dyDescent="0.35">
      <c r="C2" s="83" t="s">
        <v>3</v>
      </c>
      <c r="M2" s="68"/>
      <c r="T2" s="67"/>
    </row>
    <row r="3" spans="2:21" ht="15.75" x14ac:dyDescent="0.25">
      <c r="C3" s="67"/>
      <c r="M3" s="68"/>
      <c r="T3" s="67"/>
    </row>
    <row r="4" spans="2:21" ht="21" x14ac:dyDescent="0.35">
      <c r="C4" s="84" t="s">
        <v>83</v>
      </c>
      <c r="D4" s="85"/>
      <c r="E4" s="85"/>
      <c r="F4" s="85"/>
      <c r="G4" s="85"/>
      <c r="H4" s="85"/>
      <c r="I4" s="85"/>
      <c r="J4" s="85"/>
      <c r="K4" s="85"/>
      <c r="L4" s="85"/>
      <c r="N4" s="84" t="s">
        <v>29</v>
      </c>
      <c r="T4" s="67"/>
    </row>
    <row r="5" spans="2:21" ht="21" x14ac:dyDescent="0.35">
      <c r="C5" s="85"/>
      <c r="D5" s="85"/>
      <c r="E5" s="85"/>
      <c r="F5" s="85"/>
      <c r="G5" s="85"/>
      <c r="H5" s="85"/>
      <c r="I5" s="85"/>
      <c r="J5" s="85"/>
      <c r="K5" s="85"/>
      <c r="L5" s="85"/>
      <c r="N5" s="83"/>
      <c r="T5" s="67"/>
    </row>
    <row r="6" spans="2:21" ht="21" x14ac:dyDescent="0.35">
      <c r="C6" s="83" t="s">
        <v>84</v>
      </c>
      <c r="D6" s="85"/>
      <c r="E6" s="85"/>
      <c r="F6" s="85"/>
      <c r="G6" s="85"/>
      <c r="H6" s="85"/>
      <c r="I6" s="85"/>
      <c r="J6" s="85"/>
      <c r="K6" s="85"/>
      <c r="L6" s="85"/>
      <c r="N6" s="83" t="s">
        <v>84</v>
      </c>
      <c r="T6" s="67"/>
    </row>
    <row r="7" spans="2:21" ht="15.75" x14ac:dyDescent="0.25">
      <c r="C7" s="67"/>
      <c r="M7" s="68"/>
      <c r="T7" s="67"/>
    </row>
    <row r="8" spans="2:21" ht="78" customHeight="1" x14ac:dyDescent="0.25">
      <c r="C8" s="592" t="s">
        <v>85</v>
      </c>
      <c r="D8" s="593" t="s">
        <v>23</v>
      </c>
      <c r="E8" s="411" t="s">
        <v>86</v>
      </c>
      <c r="F8" s="411" t="s">
        <v>87</v>
      </c>
      <c r="G8" s="411" t="s">
        <v>89</v>
      </c>
      <c r="H8" s="411" t="s">
        <v>90</v>
      </c>
      <c r="I8" s="291"/>
      <c r="J8" s="291"/>
      <c r="K8" s="291"/>
      <c r="L8" s="291"/>
      <c r="M8" s="1"/>
      <c r="N8" s="592" t="s">
        <v>85</v>
      </c>
      <c r="O8" s="592" t="s">
        <v>23</v>
      </c>
      <c r="P8" s="411" t="s">
        <v>91</v>
      </c>
      <c r="Q8" s="411" t="s">
        <v>92</v>
      </c>
      <c r="R8" s="411" t="s">
        <v>94</v>
      </c>
      <c r="S8" s="411" t="s">
        <v>95</v>
      </c>
      <c r="U8" s="67"/>
    </row>
    <row r="9" spans="2:21" ht="27" x14ac:dyDescent="0.25">
      <c r="C9" s="592"/>
      <c r="D9" s="593"/>
      <c r="E9" s="411" t="s">
        <v>168</v>
      </c>
      <c r="F9" s="411" t="s">
        <v>169</v>
      </c>
      <c r="G9" s="411" t="s">
        <v>170</v>
      </c>
      <c r="H9" s="411" t="s">
        <v>171</v>
      </c>
      <c r="I9" s="291"/>
      <c r="J9" s="291"/>
      <c r="K9" s="291"/>
      <c r="L9" s="291"/>
      <c r="M9" s="1"/>
      <c r="N9" s="592"/>
      <c r="O9" s="592"/>
      <c r="P9" s="411" t="s">
        <v>100</v>
      </c>
      <c r="Q9" s="411" t="s">
        <v>172</v>
      </c>
      <c r="R9" s="411" t="s">
        <v>173</v>
      </c>
      <c r="S9" s="411" t="s">
        <v>508</v>
      </c>
      <c r="U9" s="67"/>
    </row>
    <row r="10" spans="2:21" ht="15.6" customHeight="1" x14ac:dyDescent="0.25">
      <c r="C10" s="88" t="s">
        <v>30</v>
      </c>
      <c r="D10" s="594" t="s">
        <v>103</v>
      </c>
      <c r="E10" s="316">
        <f>INDEX('Inhalation Exposures'!$I$37:$I$44, MATCH(PCE_max!$C$2, 'Inhalation Exposures'!$A$37:$A$44, 0))</f>
        <v>1.4467041961455597E-2</v>
      </c>
      <c r="F10" s="316">
        <f>INDEX('Inhalation Exposures'!$K$37:$K$44, MATCH(PCE_max!$C$2, 'Inhalation Exposures'!$A$37:$A$44, 0))</f>
        <v>9.8415251438473458E-3</v>
      </c>
      <c r="G10" s="316">
        <f>INDEX('Inhalation Exposures'!$O$37:$O$44, MATCH(PCE_max!$C$2, 'Inhalation Exposures'!$A$37:$A$44, 0))</f>
        <v>3.3029776167706843E-3</v>
      </c>
      <c r="H10" s="316">
        <f>INDEX('Inhalation Exposures'!$Q$37:$Q$44, MATCH(PCE_max!$C$2, 'Inhalation Exposures'!$A$37:$A$44, 0))</f>
        <v>3.4568054597286075E-3</v>
      </c>
      <c r="I10" s="329"/>
      <c r="J10" s="329"/>
      <c r="K10" s="329"/>
      <c r="L10" s="329"/>
      <c r="M10" s="1"/>
      <c r="N10" s="595" t="s">
        <v>104</v>
      </c>
      <c r="O10" s="412" t="s">
        <v>103</v>
      </c>
      <c r="P10" s="316">
        <f>IFERROR(INDEX('Dermal Exposures'!$J$19:$J$27, MATCH(PCE_max!$C$2, 'Dermal Exposures'!$A$19:$A$27, 0)), "")</f>
        <v>3.2132100000000001</v>
      </c>
      <c r="Q10" s="316">
        <f>IFERROR(INDEX('Dermal Exposures'!$K$19:$K$27, MATCH(PCE_max!$C$2, 'Dermal Exposures'!$A$19:$A$27, 0)), "")</f>
        <v>4.0165125000000003E-2</v>
      </c>
      <c r="R10" s="316">
        <f>IFERROR(INDEX('Dermal Exposures'!$M$19:$M$27, MATCH(PCE_max!$C$2, 'Dermal Exposures'!$A$19:$A$27, 0)), "")</f>
        <v>2.7510359589041095E-2</v>
      </c>
      <c r="S10" s="316">
        <f>IFERROR(INDEX('Dermal Exposures'!$N$19:$N$27, MATCH(PCE_max!$C$2, 'Dermal Exposures'!$A$19:$A$27, 0)), "")</f>
        <v>1.4107876712328767E-2</v>
      </c>
      <c r="U10" s="67"/>
    </row>
    <row r="11" spans="2:21" ht="15.75" x14ac:dyDescent="0.25">
      <c r="C11" s="88" t="s">
        <v>28</v>
      </c>
      <c r="D11" s="594"/>
      <c r="E11" s="316">
        <f>INDEX('Inhalation Exposures'!$I$50:$I$58, MATCH(PCE_max!$C$2, 'Inhalation Exposures'!$A$50:$A$58, 0))</f>
        <v>3.1708585120998572E-3</v>
      </c>
      <c r="F11" s="316">
        <f>INDEX('Inhalation Exposures'!$K$50:$K$58, MATCH(PCE_max!$C$2, 'Inhalation Exposures'!$A$50:$A$58, 0))</f>
        <v>2.1570466068706511E-3</v>
      </c>
      <c r="G11" s="316">
        <f>INDEX('Inhalation Exposures'!$O$50:$O$58, MATCH(PCE_max!$C$2, 'Inhalation Exposures'!$A$50:$A$58, 0))</f>
        <v>7.2394029956617738E-4</v>
      </c>
      <c r="H11" s="316">
        <f>INDEX('Inhalation Exposures'!$Q$50:$Q$58, MATCH(PCE_max!$C$2, 'Inhalation Exposures'!$A$50:$A$58, 0))</f>
        <v>7.5765599117339334E-4</v>
      </c>
      <c r="I11" s="329"/>
      <c r="J11" s="329"/>
      <c r="K11" s="329"/>
      <c r="L11" s="329"/>
      <c r="M11" s="1"/>
      <c r="N11" s="595"/>
      <c r="O11" s="412" t="s">
        <v>27</v>
      </c>
      <c r="P11" s="316">
        <f>IFERROR(INDEX('Dermal Exposures'!$O$19:$O$27, MATCH(PCE_max!$C$2, 'Dermal Exposures'!$A$19:$A$27, 0)), "")</f>
        <v>1.07107</v>
      </c>
      <c r="Q11" s="316">
        <f>IFERROR(INDEX('Dermal Exposures'!$P$19:$P$27, MATCH(PCE_max!$C$2, 'Dermal Exposures'!$A$19:$A$27, 0)), "")</f>
        <v>1.3388374999999999E-2</v>
      </c>
      <c r="R11" s="316">
        <f>IFERROR(INDEX('Dermal Exposures'!$R$19:$R$27, MATCH(PCE_max!$C$2, 'Dermal Exposures'!$A$19:$A$27, 0)), "")</f>
        <v>9.1701198630136978E-3</v>
      </c>
      <c r="S11" s="316">
        <f>IFERROR(INDEX('Dermal Exposures'!$S$19:$S$27, MATCH(PCE_max!$C$2, 'Dermal Exposures'!$A$19:$A$27, 0)), "")</f>
        <v>3.6445348173515984E-3</v>
      </c>
      <c r="U11" s="67"/>
    </row>
    <row r="12" spans="2:21" ht="15.6" customHeight="1" x14ac:dyDescent="0.25">
      <c r="C12" s="88" t="s">
        <v>30</v>
      </c>
      <c r="D12" s="591" t="s">
        <v>27</v>
      </c>
      <c r="E12" s="316">
        <f>INDEX('Inhalation Exposures'!$J$37:$J$44, MATCH(PCE_max!$C$2, 'Inhalation Exposures'!$A$37:$A$44, 0))</f>
        <v>9.5125755362995704E-4</v>
      </c>
      <c r="F12" s="316">
        <f>INDEX('Inhalation Exposures'!$L$37:$L$44, MATCH(PCE_max!$C$2, 'Inhalation Exposures'!$A$37:$A$44, 0))</f>
        <v>6.4711398206119533E-4</v>
      </c>
      <c r="G12" s="316">
        <f>INDEX('Inhalation Exposures'!$P$37:$P$44, MATCH(PCE_max!$C$2, 'Inhalation Exposures'!$A$37:$A$44, 0))</f>
        <v>2.1718208986985319E-4</v>
      </c>
      <c r="H12" s="316">
        <f>INDEX('Inhalation Exposures'!$R$37:$R$44, MATCH(PCE_max!$C$2, 'Inhalation Exposures'!$A$37:$A$44, 0))</f>
        <v>1.7615501794781397E-4</v>
      </c>
      <c r="I12" s="329"/>
      <c r="J12" s="329"/>
      <c r="K12" s="329"/>
      <c r="L12" s="329"/>
      <c r="M12" s="1"/>
      <c r="N12" s="565" t="str">
        <f>_xlfn.CONCAT("Worker with Gloves; 
PF of ",'List Values'!$B$16)</f>
        <v>Worker with Gloves; 
PF of 5</v>
      </c>
      <c r="O12" s="71" t="s">
        <v>103</v>
      </c>
      <c r="P12" s="316">
        <f>P10/'List Values'!$B$16</f>
        <v>0.64264200000000005</v>
      </c>
      <c r="Q12" s="316">
        <f>Q10/'List Values'!$B$16</f>
        <v>8.0330250000000009E-3</v>
      </c>
      <c r="R12" s="316">
        <f>R10/'List Values'!$B$16</f>
        <v>5.5020719178082191E-3</v>
      </c>
      <c r="S12" s="316">
        <f>S10/'List Values'!$B$16</f>
        <v>2.8215753424657534E-3</v>
      </c>
      <c r="T12" s="329"/>
    </row>
    <row r="13" spans="2:21" ht="15" x14ac:dyDescent="0.25">
      <c r="C13" s="88" t="s">
        <v>28</v>
      </c>
      <c r="D13" s="591"/>
      <c r="E13" s="316">
        <f>INDEX('Inhalation Exposures'!$J$50:$J$58, MATCH(PCE_max!$C$2, 'Inhalation Exposures'!$A$50:$A$58, 0))</f>
        <v>2.7745011980873748E-5</v>
      </c>
      <c r="F13" s="316">
        <f>INDEX('Inhalation Exposures'!$L$50:$L$58, MATCH(PCE_max!$C$2, 'Inhalation Exposures'!$A$50:$A$58, 0))</f>
        <v>1.8874157810118196E-5</v>
      </c>
      <c r="G13" s="316">
        <f>INDEX('Inhalation Exposures'!$P$50:$P$58, MATCH(PCE_max!$C$2, 'Inhalation Exposures'!$A$50:$A$58, 0))</f>
        <v>6.334477621204052E-6</v>
      </c>
      <c r="H13" s="316">
        <f>INDEX('Inhalation Exposures'!$R$50:$R$58, MATCH(PCE_max!$C$2, 'Inhalation Exposures'!$A$50:$A$58, 0))</f>
        <v>5.1378546901445734E-6</v>
      </c>
      <c r="I13" s="329"/>
      <c r="J13" s="329"/>
      <c r="K13" s="329"/>
      <c r="L13" s="329"/>
      <c r="M13" s="1"/>
      <c r="N13" s="565"/>
      <c r="O13" s="71" t="s">
        <v>27</v>
      </c>
      <c r="P13" s="316">
        <f>P11/'List Values'!$B$16</f>
        <v>0.21421399999999999</v>
      </c>
      <c r="Q13" s="316">
        <f>Q11/'List Values'!$B$16</f>
        <v>2.677675E-3</v>
      </c>
      <c r="R13" s="316">
        <f>R11/'List Values'!$B$16</f>
        <v>1.8340239726027396E-3</v>
      </c>
      <c r="S13" s="316">
        <f>S11/'List Values'!$B$16</f>
        <v>7.2890696347031967E-4</v>
      </c>
      <c r="T13" s="329"/>
    </row>
    <row r="14" spans="2:21" ht="12.95" customHeight="1" x14ac:dyDescent="0.2">
      <c r="N14" s="565" t="str">
        <f>_xlfn.CONCAT("Worker with Gloves; 
PF of ",'List Values'!$B$17)</f>
        <v>Worker with Gloves; 
PF of 10</v>
      </c>
      <c r="O14" s="71" t="s">
        <v>103</v>
      </c>
      <c r="P14" s="316">
        <f>P10/'List Values'!$B$17</f>
        <v>0.32132100000000002</v>
      </c>
      <c r="Q14" s="316">
        <f>Q10/'List Values'!$B$17</f>
        <v>4.0165125000000005E-3</v>
      </c>
      <c r="R14" s="316">
        <f>R10/'List Values'!$B$17</f>
        <v>2.7510359589041095E-3</v>
      </c>
      <c r="S14" s="316">
        <f>S10/'List Values'!$B$17</f>
        <v>1.4107876712328767E-3</v>
      </c>
      <c r="T14" s="329"/>
    </row>
    <row r="15" spans="2:21" ht="21" x14ac:dyDescent="0.35">
      <c r="C15" s="83" t="s">
        <v>105</v>
      </c>
      <c r="N15" s="565"/>
      <c r="O15" s="71" t="s">
        <v>27</v>
      </c>
      <c r="P15" s="316">
        <f>P11/'List Values'!$B$17</f>
        <v>0.10710699999999999</v>
      </c>
      <c r="Q15" s="316">
        <f>Q11/'List Values'!$B$17</f>
        <v>1.3388375E-3</v>
      </c>
      <c r="R15" s="316">
        <f>R11/'List Values'!$B$17</f>
        <v>9.1701198630136981E-4</v>
      </c>
      <c r="S15" s="316">
        <f>S11/'List Values'!$B$17</f>
        <v>3.6445348173515984E-4</v>
      </c>
      <c r="T15" s="329"/>
    </row>
    <row r="16" spans="2:21" ht="28.5" customHeight="1" x14ac:dyDescent="0.25">
      <c r="B16" s="70"/>
      <c r="C16" s="568" t="s">
        <v>106</v>
      </c>
      <c r="D16" s="568" t="s">
        <v>107</v>
      </c>
      <c r="E16" s="568" t="s">
        <v>23</v>
      </c>
      <c r="F16" s="568" t="s">
        <v>108</v>
      </c>
      <c r="G16" s="568" t="s">
        <v>109</v>
      </c>
      <c r="H16" s="568"/>
      <c r="I16" s="90"/>
      <c r="J16" s="90"/>
      <c r="K16" s="90"/>
      <c r="L16" s="90"/>
      <c r="M16" s="90"/>
      <c r="N16" s="565" t="str">
        <f>_xlfn.CONCAT("Worker with Gloves; 
PF of ",'List Values'!$B$18)</f>
        <v>Worker with Gloves; 
PF of 20</v>
      </c>
      <c r="O16" s="71" t="s">
        <v>103</v>
      </c>
      <c r="P16" s="316">
        <f>P10/'List Values'!$B$18</f>
        <v>0.16066050000000001</v>
      </c>
      <c r="Q16" s="316">
        <f>Q10/'List Values'!$B$18</f>
        <v>2.0082562500000002E-3</v>
      </c>
      <c r="R16" s="316">
        <f>R10/'List Values'!$B$18</f>
        <v>1.3755179794520548E-3</v>
      </c>
      <c r="S16" s="316">
        <f>S10/'List Values'!$B$18</f>
        <v>7.0539383561643836E-4</v>
      </c>
      <c r="T16" s="67"/>
    </row>
    <row r="17" spans="2:20" ht="26.1" customHeight="1" x14ac:dyDescent="0.25">
      <c r="B17" s="70"/>
      <c r="C17" s="568"/>
      <c r="D17" s="568"/>
      <c r="E17" s="568"/>
      <c r="F17" s="568"/>
      <c r="G17" s="413" t="s">
        <v>110</v>
      </c>
      <c r="H17" s="413" t="s">
        <v>111</v>
      </c>
      <c r="I17" s="90"/>
      <c r="J17" s="90"/>
      <c r="K17" s="90"/>
      <c r="L17" s="90"/>
      <c r="M17" s="90"/>
      <c r="N17" s="565"/>
      <c r="O17" s="71" t="s">
        <v>27</v>
      </c>
      <c r="P17" s="316">
        <f>P11/'List Values'!$B$18</f>
        <v>5.3553499999999997E-2</v>
      </c>
      <c r="Q17" s="316">
        <f>Q11/'List Values'!$B$18</f>
        <v>6.6941875000000001E-4</v>
      </c>
      <c r="R17" s="316">
        <f>R11/'List Values'!$B$18</f>
        <v>4.585059931506849E-4</v>
      </c>
      <c r="S17" s="316">
        <f>S11/'List Values'!$B$18</f>
        <v>1.8222674086757992E-4</v>
      </c>
      <c r="T17" s="67"/>
    </row>
    <row r="18" spans="2:20" ht="27.6" customHeight="1" x14ac:dyDescent="0.2">
      <c r="B18" s="70"/>
      <c r="C18" s="587" t="s">
        <v>174</v>
      </c>
      <c r="D18" s="580">
        <f>INDEX('Health Data'!$G:$G,MATCH($C$2,'Health Data'!$B:$B,0))</f>
        <v>1.6956639729827525</v>
      </c>
      <c r="E18" s="71" t="s">
        <v>103</v>
      </c>
      <c r="F18" s="412">
        <v>10</v>
      </c>
      <c r="G18" s="101">
        <f>D18/$F$10</f>
        <v>172.29686945857529</v>
      </c>
      <c r="H18" s="102">
        <f>D18/$F$11</f>
        <v>786.10446690474976</v>
      </c>
      <c r="I18" s="330"/>
      <c r="J18" s="330"/>
      <c r="K18" s="330"/>
      <c r="L18" s="330"/>
      <c r="M18" s="77"/>
    </row>
    <row r="19" spans="2:20" ht="25.5" customHeight="1" x14ac:dyDescent="0.35">
      <c r="B19" s="70"/>
      <c r="C19" s="588"/>
      <c r="D19" s="555"/>
      <c r="E19" s="71" t="s">
        <v>27</v>
      </c>
      <c r="F19" s="412">
        <v>10</v>
      </c>
      <c r="G19" s="101">
        <f>D18/$F$12</f>
        <v>2620.3482230158324</v>
      </c>
      <c r="H19" s="102">
        <f>D18/$F$13</f>
        <v>89840.510503399972</v>
      </c>
      <c r="I19" s="330"/>
      <c r="J19" s="330"/>
      <c r="K19" s="330"/>
      <c r="L19" s="330"/>
      <c r="M19" s="77"/>
      <c r="N19" s="83" t="s">
        <v>113</v>
      </c>
    </row>
    <row r="20" spans="2:20"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20" s="85" customFormat="1" ht="27.75" x14ac:dyDescent="0.35">
      <c r="B21" s="83"/>
      <c r="C21" s="83" t="s">
        <v>122</v>
      </c>
      <c r="F21" s="86"/>
      <c r="N21" s="571"/>
      <c r="O21" s="571"/>
      <c r="P21" s="571"/>
      <c r="Q21" s="571"/>
      <c r="R21" s="422" t="s">
        <v>116</v>
      </c>
      <c r="S21" s="66"/>
      <c r="T21" s="66"/>
    </row>
    <row r="22" spans="2:20" ht="29.25" customHeight="1" x14ac:dyDescent="0.2">
      <c r="B22" s="79"/>
      <c r="C22" s="568" t="s">
        <v>106</v>
      </c>
      <c r="D22" s="568" t="s">
        <v>107</v>
      </c>
      <c r="E22" s="568" t="s">
        <v>23</v>
      </c>
      <c r="F22" s="568" t="s">
        <v>108</v>
      </c>
      <c r="G22" s="568" t="s">
        <v>123</v>
      </c>
      <c r="H22" s="568"/>
      <c r="I22" s="90"/>
      <c r="J22" s="90"/>
      <c r="K22" s="90"/>
      <c r="L22" s="90"/>
      <c r="M22" s="90"/>
      <c r="N22" s="587" t="s">
        <v>174</v>
      </c>
      <c r="O22" s="589">
        <f>INDEX('Health Data'!$K:$K,MATCH($C$2,'Health Data'!$B:$B,0))</f>
        <v>2.1</v>
      </c>
      <c r="P22" s="72" t="s">
        <v>103</v>
      </c>
      <c r="Q22" s="412">
        <v>10</v>
      </c>
      <c r="R22" s="101">
        <f>IFERROR(O22/Q10, "")</f>
        <v>52.284164433697143</v>
      </c>
    </row>
    <row r="23" spans="2:20" ht="39" customHeight="1" x14ac:dyDescent="0.2">
      <c r="B23" s="79"/>
      <c r="C23" s="568"/>
      <c r="D23" s="568"/>
      <c r="E23" s="568"/>
      <c r="F23" s="568"/>
      <c r="G23" s="413" t="s">
        <v>110</v>
      </c>
      <c r="H23" s="413" t="s">
        <v>111</v>
      </c>
      <c r="I23" s="90"/>
      <c r="J23" s="90"/>
      <c r="K23" s="90"/>
      <c r="L23" s="90"/>
      <c r="M23" s="90"/>
      <c r="N23" s="588"/>
      <c r="O23" s="590"/>
      <c r="P23" s="72" t="s">
        <v>27</v>
      </c>
      <c r="Q23" s="412">
        <v>10</v>
      </c>
      <c r="R23" s="101">
        <f>IFERROR(O22/Q11, "")</f>
        <v>156.85249330109144</v>
      </c>
    </row>
    <row r="24" spans="2:20" ht="33" customHeight="1" x14ac:dyDescent="0.2">
      <c r="B24" s="79"/>
      <c r="C24" s="577" t="s">
        <v>176</v>
      </c>
      <c r="D24" s="578">
        <f>INDEX('Health Data'!$P:$P,MATCH($C$2,'Health Data'!$B:$B,0))</f>
        <v>5.2049511518514047</v>
      </c>
      <c r="E24" s="72" t="s">
        <v>103</v>
      </c>
      <c r="F24" s="412">
        <v>100</v>
      </c>
      <c r="G24" s="419">
        <f>D24/$G$10</f>
        <v>1575.8360351652266</v>
      </c>
      <c r="H24" s="419">
        <f>D24/$G$11</f>
        <v>7189.7519104413468</v>
      </c>
      <c r="I24" s="96"/>
      <c r="J24" s="96"/>
      <c r="K24" s="96"/>
      <c r="L24" s="96"/>
      <c r="M24" s="77"/>
      <c r="N24" s="74"/>
      <c r="O24" s="75"/>
      <c r="P24" s="81"/>
      <c r="R24" s="77"/>
    </row>
    <row r="25" spans="2:20" ht="33" customHeight="1" x14ac:dyDescent="0.35">
      <c r="B25" s="79"/>
      <c r="C25" s="577"/>
      <c r="D25" s="559"/>
      <c r="E25" s="72" t="s">
        <v>27</v>
      </c>
      <c r="F25" s="412">
        <v>100</v>
      </c>
      <c r="G25" s="419">
        <f>D24/$G$12</f>
        <v>23965.839701471159</v>
      </c>
      <c r="H25" s="419">
        <f>D24/$G$13</f>
        <v>821685.93262186821</v>
      </c>
      <c r="I25" s="96"/>
      <c r="J25" s="96"/>
      <c r="K25" s="96"/>
      <c r="L25" s="96"/>
      <c r="M25" s="77"/>
      <c r="N25" s="83" t="s">
        <v>125</v>
      </c>
      <c r="O25" s="85"/>
      <c r="P25" s="85"/>
      <c r="Q25" s="85"/>
      <c r="R25" s="85"/>
      <c r="S25" s="85"/>
      <c r="T25" s="85"/>
    </row>
    <row r="26" spans="2:20" ht="25.5" x14ac:dyDescent="0.2">
      <c r="B26" s="79"/>
      <c r="C26" s="80"/>
      <c r="D26" s="75"/>
      <c r="E26" s="81"/>
      <c r="F26" s="75"/>
      <c r="G26" s="77"/>
      <c r="H26" s="77"/>
      <c r="I26" s="77"/>
      <c r="J26" s="77"/>
      <c r="K26" s="77"/>
      <c r="L26" s="77"/>
      <c r="M26" s="77"/>
      <c r="N26" s="566" t="s">
        <v>106</v>
      </c>
      <c r="O26" s="566" t="s">
        <v>121</v>
      </c>
      <c r="P26" s="566" t="s">
        <v>23</v>
      </c>
      <c r="Q26" s="566" t="s">
        <v>108</v>
      </c>
      <c r="R26" s="411" t="s">
        <v>123</v>
      </c>
    </row>
    <row r="27" spans="2:20" ht="33" customHeight="1" x14ac:dyDescent="0.35">
      <c r="B27" s="79"/>
      <c r="C27" s="83" t="s">
        <v>126</v>
      </c>
      <c r="D27" s="85"/>
      <c r="E27" s="85"/>
      <c r="F27" s="85"/>
      <c r="G27" s="85"/>
      <c r="H27" s="85"/>
      <c r="I27" s="85"/>
      <c r="J27" s="85"/>
      <c r="K27" s="85"/>
      <c r="L27" s="85"/>
      <c r="M27" s="77"/>
      <c r="N27" s="581"/>
      <c r="O27" s="567"/>
      <c r="P27" s="567"/>
      <c r="Q27" s="567"/>
      <c r="R27" s="411" t="s">
        <v>116</v>
      </c>
    </row>
    <row r="28" spans="2:20" ht="33" customHeight="1" x14ac:dyDescent="0.2">
      <c r="B28" s="79"/>
      <c r="C28" s="582" t="s">
        <v>127</v>
      </c>
      <c r="D28" s="566" t="s">
        <v>128</v>
      </c>
      <c r="E28" s="566" t="s">
        <v>23</v>
      </c>
      <c r="F28" s="583" t="s">
        <v>129</v>
      </c>
      <c r="G28" s="568" t="s">
        <v>130</v>
      </c>
      <c r="H28" s="568"/>
      <c r="I28" s="90"/>
      <c r="J28" s="90"/>
      <c r="K28" s="90"/>
      <c r="L28" s="90"/>
      <c r="M28" s="77"/>
      <c r="N28" s="577" t="s">
        <v>177</v>
      </c>
      <c r="O28" s="580">
        <f>INDEX('Health Data'!$T:$T,MATCH($C$2,'Health Data'!$B:$B,0))</f>
        <v>6.2</v>
      </c>
      <c r="P28" s="72" t="s">
        <v>103</v>
      </c>
      <c r="Q28" s="412">
        <v>100</v>
      </c>
      <c r="R28" s="107">
        <f>IFERROR(O28/$R$10, "")</f>
        <v>225.3696459303936</v>
      </c>
    </row>
    <row r="29" spans="2:20" ht="33" customHeight="1" x14ac:dyDescent="0.2">
      <c r="B29" s="79"/>
      <c r="C29" s="530"/>
      <c r="D29" s="567"/>
      <c r="E29" s="567"/>
      <c r="F29" s="584"/>
      <c r="G29" s="413" t="s">
        <v>131</v>
      </c>
      <c r="H29" s="413" t="s">
        <v>28</v>
      </c>
      <c r="I29" s="90"/>
      <c r="J29" s="90"/>
      <c r="K29" s="90"/>
      <c r="L29" s="90"/>
      <c r="M29" s="77"/>
      <c r="N29" s="577"/>
      <c r="O29" s="555"/>
      <c r="P29" s="72" t="s">
        <v>27</v>
      </c>
      <c r="Q29" s="412">
        <v>100</v>
      </c>
      <c r="R29" s="107">
        <f>IFERROR(O28/$R$11, "")</f>
        <v>676.10893779118089</v>
      </c>
    </row>
    <row r="30" spans="2:20" ht="33" customHeight="1" x14ac:dyDescent="0.2">
      <c r="B30" s="79"/>
      <c r="C30" s="572" t="s">
        <v>178</v>
      </c>
      <c r="D30" s="574">
        <f>INDEX('Health Data'!$Y:$Y,MATCH($C$2,'Health Data'!$B:$B,0))</f>
        <v>2.0346012269938647E-3</v>
      </c>
      <c r="E30" s="71" t="s">
        <v>103</v>
      </c>
      <c r="F30" s="107">
        <v>1E-4</v>
      </c>
      <c r="G30" s="103">
        <f>H10*D30</f>
        <v>7.0332206298429156E-6</v>
      </c>
      <c r="H30" s="403">
        <f>H11*D30</f>
        <v>1.5415278092806389E-6</v>
      </c>
      <c r="I30" s="331"/>
      <c r="J30" s="331"/>
      <c r="K30" s="331"/>
      <c r="L30" s="331"/>
      <c r="M30" s="77"/>
    </row>
    <row r="31" spans="2:20" ht="33" customHeight="1" x14ac:dyDescent="0.35">
      <c r="B31" s="79"/>
      <c r="C31" s="576"/>
      <c r="D31" s="575"/>
      <c r="E31" s="71" t="s">
        <v>27</v>
      </c>
      <c r="F31" s="107">
        <v>1E-4</v>
      </c>
      <c r="G31" s="105">
        <f>H12*D30</f>
        <v>3.5840521565774856E-7</v>
      </c>
      <c r="H31" s="403">
        <f>H13*D30</f>
        <v>1.0453485456684332E-8</v>
      </c>
      <c r="I31" s="331"/>
      <c r="J31" s="331"/>
      <c r="K31" s="331"/>
      <c r="L31" s="331"/>
      <c r="M31" s="77"/>
      <c r="N31" s="83" t="s">
        <v>126</v>
      </c>
      <c r="O31" s="85"/>
      <c r="P31" s="85"/>
      <c r="Q31" s="85"/>
      <c r="R31" s="85"/>
    </row>
    <row r="32" spans="2:20" ht="33" customHeight="1" x14ac:dyDescent="0.2">
      <c r="B32" s="79"/>
      <c r="I32" s="77"/>
      <c r="J32" s="77"/>
      <c r="K32" s="77"/>
      <c r="L32" s="77"/>
      <c r="M32" s="77"/>
      <c r="N32" s="566" t="s">
        <v>127</v>
      </c>
      <c r="O32" s="566" t="s">
        <v>133</v>
      </c>
      <c r="P32" s="566" t="s">
        <v>23</v>
      </c>
      <c r="Q32" s="566" t="s">
        <v>129</v>
      </c>
      <c r="R32" s="411" t="s">
        <v>130</v>
      </c>
    </row>
    <row r="33" spans="2:20" ht="33" customHeight="1" x14ac:dyDescent="0.35">
      <c r="B33" s="79"/>
      <c r="C33" s="83" t="s">
        <v>134</v>
      </c>
      <c r="I33" s="77"/>
      <c r="J33" s="77"/>
      <c r="K33" s="77"/>
      <c r="L33" s="77"/>
      <c r="M33" s="77"/>
      <c r="N33" s="567"/>
      <c r="O33" s="567"/>
      <c r="P33" s="567"/>
      <c r="Q33" s="567"/>
      <c r="R33" s="411" t="s">
        <v>135</v>
      </c>
    </row>
    <row r="34" spans="2:20" ht="33" customHeight="1" thickBot="1" x14ac:dyDescent="0.4">
      <c r="B34" s="79"/>
      <c r="C34" s="83"/>
      <c r="I34" s="77"/>
      <c r="J34" s="77"/>
      <c r="K34" s="77"/>
      <c r="L34" s="77"/>
      <c r="M34" s="77"/>
      <c r="N34" s="572" t="s">
        <v>178</v>
      </c>
      <c r="O34" s="574">
        <f>INDEX('Health Data'!$AB:$AB,MATCH($C$2,'Health Data'!$B:$B,0))</f>
        <v>2E-3</v>
      </c>
      <c r="P34" s="71" t="s">
        <v>103</v>
      </c>
      <c r="Q34" s="561">
        <v>1E-4</v>
      </c>
      <c r="R34" s="107">
        <f>IFERROR(S10*O34, "")</f>
        <v>2.8215753424657535E-5</v>
      </c>
    </row>
    <row r="35" spans="2:20" ht="33" customHeight="1" x14ac:dyDescent="0.25">
      <c r="B35" s="79"/>
      <c r="C35" s="325" t="s">
        <v>136</v>
      </c>
      <c r="I35" s="77"/>
      <c r="J35" s="77"/>
      <c r="K35" s="77"/>
      <c r="L35" s="77"/>
      <c r="M35" s="77"/>
      <c r="N35" s="576"/>
      <c r="O35" s="575"/>
      <c r="P35" s="71" t="s">
        <v>27</v>
      </c>
      <c r="Q35" s="596"/>
      <c r="R35" s="107">
        <f>IFERROR(S11*O34, "")</f>
        <v>7.2890696347031966E-6</v>
      </c>
    </row>
    <row r="36" spans="2:20" ht="33" customHeight="1" thickBot="1" x14ac:dyDescent="0.3">
      <c r="B36" s="79"/>
      <c r="C36" s="326" t="s">
        <v>30</v>
      </c>
      <c r="I36" s="77"/>
      <c r="J36" s="77"/>
      <c r="K36" s="77"/>
      <c r="L36" s="77"/>
      <c r="M36" s="77"/>
    </row>
    <row r="37" spans="2:20" ht="33" customHeight="1" x14ac:dyDescent="0.35">
      <c r="B37" s="79"/>
      <c r="C37" s="317"/>
      <c r="I37" s="77"/>
      <c r="J37" s="77"/>
      <c r="K37" s="77"/>
      <c r="L37" s="77"/>
      <c r="M37" s="77"/>
      <c r="N37" s="83" t="s">
        <v>137</v>
      </c>
    </row>
    <row r="38" spans="2:20" ht="33" customHeight="1" thickBot="1" x14ac:dyDescent="0.25">
      <c r="B38" s="79"/>
      <c r="I38" s="77"/>
      <c r="J38" s="77"/>
      <c r="K38" s="77"/>
      <c r="L38" s="77"/>
      <c r="M38" s="77"/>
    </row>
    <row r="39" spans="2:20" ht="33" customHeight="1" x14ac:dyDescent="0.2">
      <c r="B39" s="548" t="s">
        <v>138</v>
      </c>
      <c r="C39" s="540" t="s">
        <v>107</v>
      </c>
      <c r="D39" s="540" t="s">
        <v>23</v>
      </c>
      <c r="E39" s="540" t="s">
        <v>108</v>
      </c>
      <c r="F39" s="540" t="str">
        <f>_xlfn.CONCAT("Exposure Estimates: ",$C$42," MOE")</f>
        <v>Exposure Estimates:  MOE</v>
      </c>
      <c r="G39" s="540"/>
      <c r="H39" s="540"/>
      <c r="I39" s="540"/>
      <c r="J39" s="540"/>
      <c r="K39" s="542"/>
      <c r="L39" s="90"/>
      <c r="M39" s="77"/>
      <c r="N39" s="532" t="s">
        <v>121</v>
      </c>
      <c r="O39" s="540" t="s">
        <v>23</v>
      </c>
      <c r="P39" s="540" t="s">
        <v>108</v>
      </c>
      <c r="Q39" s="540" t="str">
        <f>_xlfn.CONCAT("Exposure Estimates: ",$C$42," MOE")</f>
        <v>Exposure Estimates:  MOE</v>
      </c>
      <c r="R39" s="540"/>
      <c r="S39" s="540"/>
      <c r="T39" s="542"/>
    </row>
    <row r="40" spans="2:20" ht="33" customHeight="1" thickBot="1" x14ac:dyDescent="0.25">
      <c r="B40" s="549"/>
      <c r="C40" s="541"/>
      <c r="D40" s="541"/>
      <c r="E40" s="541"/>
      <c r="F40" s="416" t="s">
        <v>139</v>
      </c>
      <c r="G40" s="416" t="s">
        <v>34</v>
      </c>
      <c r="H40" s="416" t="s">
        <v>35</v>
      </c>
      <c r="I40" s="416" t="s">
        <v>32</v>
      </c>
      <c r="J40" s="416" t="s">
        <v>140</v>
      </c>
      <c r="K40" s="290" t="s">
        <v>31</v>
      </c>
      <c r="L40" s="90"/>
      <c r="M40" s="77"/>
      <c r="N40" s="533"/>
      <c r="O40" s="541"/>
      <c r="P40" s="541"/>
      <c r="Q40" s="318" t="s">
        <v>135</v>
      </c>
      <c r="R40" s="318" t="s">
        <v>33</v>
      </c>
      <c r="S40" s="318" t="s">
        <v>141</v>
      </c>
      <c r="T40" s="319" t="s">
        <v>142</v>
      </c>
    </row>
    <row r="41" spans="2:20" ht="33" customHeight="1" x14ac:dyDescent="0.2">
      <c r="B41" s="550" t="s">
        <v>143</v>
      </c>
      <c r="C41" s="555">
        <f>INDEX('Health Data'!$G:$G,MATCH($C$2,'Health Data'!$B:$B,0))</f>
        <v>1.6956639729827525</v>
      </c>
      <c r="D41" s="292" t="s">
        <v>103</v>
      </c>
      <c r="E41" s="421">
        <v>10</v>
      </c>
      <c r="F41" s="304">
        <f>IFERROR($C41/IF($C$36="Worker",$F$10,$F$11), "")</f>
        <v>172.29686945857529</v>
      </c>
      <c r="G41" s="305">
        <f>IFERROR($F41*'List Values'!$B$9, "")</f>
        <v>1722.9686945857529</v>
      </c>
      <c r="H41" s="305">
        <f>IFERROR($F41*'List Values'!$B$10, "")</f>
        <v>4307.4217364643819</v>
      </c>
      <c r="I41" s="305">
        <f>IFERROR($F41*'List Values'!$B$11, "")</f>
        <v>8614.8434729287637</v>
      </c>
      <c r="J41" s="305">
        <f>IFERROR($F41*'List Values'!$B$12, "")</f>
        <v>172296.8694585753</v>
      </c>
      <c r="K41" s="306">
        <f>IFERROR($F41*'List Values'!$B$13, "")</f>
        <v>1722968.6945857529</v>
      </c>
      <c r="L41" s="330"/>
      <c r="M41" s="77"/>
      <c r="N41" s="534">
        <f>INDEX('Health Data'!$K:$K,MATCH($C$2,'Health Data'!$B:$B,0))</f>
        <v>2.1</v>
      </c>
      <c r="O41" s="292" t="s">
        <v>103</v>
      </c>
      <c r="P41" s="421">
        <v>10</v>
      </c>
      <c r="Q41" s="305">
        <f>IFERROR($N41/Q$10, "")</f>
        <v>52.284164433697143</v>
      </c>
      <c r="R41" s="305">
        <f>IFERROR($N41/$Q$12, "")</f>
        <v>261.4208221684857</v>
      </c>
      <c r="S41" s="305">
        <f>IFERROR($N41/$Q$14, "")</f>
        <v>522.8416443369714</v>
      </c>
      <c r="T41" s="306">
        <f>IFERROR($N41/$Q$16, "")</f>
        <v>1045.6832886739428</v>
      </c>
    </row>
    <row r="42" spans="2:20" ht="33" customHeight="1" thickBot="1" x14ac:dyDescent="0.25">
      <c r="B42" s="551"/>
      <c r="C42" s="556"/>
      <c r="D42" s="293" t="s">
        <v>27</v>
      </c>
      <c r="E42" s="418">
        <v>10</v>
      </c>
      <c r="F42" s="303">
        <f>IFERROR($C41/IF($C$36="Worker",$F$12,$F$13), "")</f>
        <v>2620.3482230158324</v>
      </c>
      <c r="G42" s="303">
        <f>IFERROR($F42*'List Values'!$B$9, "")</f>
        <v>26203.482230158326</v>
      </c>
      <c r="H42" s="303">
        <f>IFERROR($F42*'List Values'!$B$10, "")</f>
        <v>65508.705575395812</v>
      </c>
      <c r="I42" s="303">
        <f>IFERROR($F42*'List Values'!$B$11, "")</f>
        <v>131017.41115079162</v>
      </c>
      <c r="J42" s="303">
        <f>IFERROR($F42*'List Values'!$B$12, "")</f>
        <v>2620348.2230158322</v>
      </c>
      <c r="K42" s="307">
        <f>IFERROR($F42*'List Values'!$B$13, "")</f>
        <v>26203482.230158325</v>
      </c>
      <c r="L42" s="330"/>
      <c r="M42" s="77"/>
      <c r="N42" s="535"/>
      <c r="O42" s="293" t="s">
        <v>27</v>
      </c>
      <c r="P42" s="418">
        <v>10</v>
      </c>
      <c r="Q42" s="321">
        <f>IFERROR($N41/$Q$11, "")</f>
        <v>156.85249330109144</v>
      </c>
      <c r="R42" s="321">
        <f>IFERROR($N41/$Q$13, "")</f>
        <v>784.26246650545716</v>
      </c>
      <c r="S42" s="321">
        <f>IFERROR($N41/$Q$15, "")</f>
        <v>1568.5249330109143</v>
      </c>
      <c r="T42" s="322">
        <f>IFERROR($N41/$Q$17, "")</f>
        <v>3137.0498660218286</v>
      </c>
    </row>
    <row r="43" spans="2:20" ht="33" customHeight="1" x14ac:dyDescent="0.2">
      <c r="B43" s="553" t="s">
        <v>145</v>
      </c>
      <c r="C43" s="555">
        <f>INDEX('Health Data'!$P:$P,MATCH($C$2,'Health Data'!$B:$B,0))</f>
        <v>5.2049511518514047</v>
      </c>
      <c r="D43" s="292" t="s">
        <v>103</v>
      </c>
      <c r="E43" s="421">
        <v>30</v>
      </c>
      <c r="F43" s="304">
        <f>IFERROR($C43/IF($C$36="Worker",$G$10,$G$11), "")</f>
        <v>1575.8360351652266</v>
      </c>
      <c r="G43" s="305">
        <f>IFERROR($F43*'List Values'!$B$9, "")</f>
        <v>15758.360351652265</v>
      </c>
      <c r="H43" s="305">
        <f>IFERROR($F43*'List Values'!$B$10, "")</f>
        <v>39395.900879130662</v>
      </c>
      <c r="I43" s="305">
        <f>IFERROR($F43*'List Values'!$B$11, "")</f>
        <v>78791.801758261325</v>
      </c>
      <c r="J43" s="305">
        <f>IFERROR($F43*'List Values'!$B$12, "")</f>
        <v>1575836.0351652266</v>
      </c>
      <c r="K43" s="306">
        <f>IFERROR($F43*'List Values'!$B$13, "")</f>
        <v>15758360.351652266</v>
      </c>
      <c r="L43" s="330"/>
      <c r="M43" s="77"/>
      <c r="N43" s="534">
        <f>INDEX('Health Data'!$T:$T,MATCH($C$2,'Health Data'!$B:$B,0))</f>
        <v>6.2</v>
      </c>
      <c r="O43" s="292" t="s">
        <v>103</v>
      </c>
      <c r="P43" s="421">
        <v>30</v>
      </c>
      <c r="Q43" s="323">
        <f>IFERROR($N$43/$R$10, "")</f>
        <v>225.3696459303936</v>
      </c>
      <c r="R43" s="323">
        <f>IFERROR($N$43/$R$12, "")</f>
        <v>1126.848229651968</v>
      </c>
      <c r="S43" s="323">
        <f>IFERROR($N$43/$R$14, "")</f>
        <v>2253.6964593039361</v>
      </c>
      <c r="T43" s="323">
        <f>IFERROR($N$43/$R$16, "")</f>
        <v>4507.3929186078722</v>
      </c>
    </row>
    <row r="44" spans="2:20" ht="33" customHeight="1" thickBot="1" x14ac:dyDescent="0.25">
      <c r="B44" s="554"/>
      <c r="C44" s="556"/>
      <c r="D44" s="293" t="s">
        <v>27</v>
      </c>
      <c r="E44" s="418">
        <v>30</v>
      </c>
      <c r="F44" s="303">
        <f>IFERROR($C43/IF($C$36="Worker",$G$12,$G$13), "")</f>
        <v>23965.839701471159</v>
      </c>
      <c r="G44" s="303">
        <f>IFERROR($F44*'List Values'!$B$9, "")</f>
        <v>239658.39701471158</v>
      </c>
      <c r="H44" s="303">
        <f>IFERROR($F44*'List Values'!$B$10, "")</f>
        <v>599145.99253677903</v>
      </c>
      <c r="I44" s="303">
        <f>IFERROR($F44*'List Values'!$B$11, "")</f>
        <v>1198291.9850735581</v>
      </c>
      <c r="J44" s="303">
        <f>IFERROR($F44*'List Values'!$B$12, "")</f>
        <v>23965839.701471157</v>
      </c>
      <c r="K44" s="307">
        <f>IFERROR($F44*'List Values'!$B$13, "")</f>
        <v>239658397.01471159</v>
      </c>
      <c r="L44" s="330"/>
      <c r="M44" s="77"/>
      <c r="N44" s="603"/>
      <c r="O44" s="320" t="s">
        <v>27</v>
      </c>
      <c r="P44" s="420">
        <v>30</v>
      </c>
      <c r="Q44" s="323">
        <f>IFERROR($N$43/$R$11, "")</f>
        <v>676.10893779118089</v>
      </c>
      <c r="R44" s="323">
        <f>IFERROR($N$43/$R$13, "")</f>
        <v>3380.5446889559043</v>
      </c>
      <c r="S44" s="323">
        <f>IFERROR($N$43/$R$15, "")</f>
        <v>6761.0893779118087</v>
      </c>
      <c r="T44" s="323">
        <f>IFERROR($N$43/$R$17, "")</f>
        <v>13522.178755823617</v>
      </c>
    </row>
    <row r="45" spans="2:20" ht="33" customHeight="1" x14ac:dyDescent="0.2">
      <c r="B45" s="294"/>
      <c r="C45" s="547" t="s">
        <v>146</v>
      </c>
      <c r="D45" s="530" t="s">
        <v>23</v>
      </c>
      <c r="E45" s="530" t="s">
        <v>108</v>
      </c>
      <c r="F45" s="530" t="str">
        <f>_xlfn.CONCAT("Exposure Estimates: ",$C$42," MOE")</f>
        <v>Exposure Estimates:  MOE</v>
      </c>
      <c r="G45" s="530"/>
      <c r="H45" s="530"/>
      <c r="I45" s="530"/>
      <c r="J45" s="530"/>
      <c r="K45" s="531"/>
      <c r="L45" s="90"/>
      <c r="M45" s="77"/>
      <c r="N45" s="532" t="s">
        <v>147</v>
      </c>
      <c r="O45" s="540" t="s">
        <v>23</v>
      </c>
      <c r="P45" s="540" t="s">
        <v>108</v>
      </c>
      <c r="Q45" s="540" t="str">
        <f>_xlfn.CONCAT("Exposure Estimates: ",$I$4," MOE")</f>
        <v>Exposure Estimates:  MOE</v>
      </c>
      <c r="R45" s="540"/>
      <c r="S45" s="540"/>
      <c r="T45" s="542"/>
    </row>
    <row r="46" spans="2:20" ht="33" customHeight="1" thickBot="1" x14ac:dyDescent="0.25">
      <c r="B46" s="294"/>
      <c r="C46" s="533"/>
      <c r="D46" s="541"/>
      <c r="E46" s="541"/>
      <c r="F46" s="416" t="s">
        <v>139</v>
      </c>
      <c r="G46" s="416" t="s">
        <v>34</v>
      </c>
      <c r="H46" s="416" t="s">
        <v>35</v>
      </c>
      <c r="I46" s="416" t="s">
        <v>32</v>
      </c>
      <c r="J46" s="416" t="s">
        <v>140</v>
      </c>
      <c r="K46" s="290" t="s">
        <v>31</v>
      </c>
      <c r="L46" s="90"/>
      <c r="M46" s="77"/>
      <c r="N46" s="533"/>
      <c r="O46" s="541"/>
      <c r="P46" s="541"/>
      <c r="Q46" s="318" t="s">
        <v>135</v>
      </c>
      <c r="R46" s="318" t="s">
        <v>33</v>
      </c>
      <c r="S46" s="318" t="s">
        <v>141</v>
      </c>
      <c r="T46" s="319" t="s">
        <v>142</v>
      </c>
    </row>
    <row r="47" spans="2:20" ht="33" customHeight="1" x14ac:dyDescent="0.2">
      <c r="B47" s="545" t="s">
        <v>148</v>
      </c>
      <c r="C47" s="599">
        <f>INDEX('Health Data'!$Y:$Y,MATCH($C$2,'Health Data'!$B:$B,0))</f>
        <v>2.0346012269938647E-3</v>
      </c>
      <c r="D47" s="299" t="s">
        <v>103</v>
      </c>
      <c r="E47" s="334">
        <v>1E-4</v>
      </c>
      <c r="F47" s="340">
        <f>IFERROR($C47*IF($C$36="Worker",$H$10,$H$11), "")</f>
        <v>7.0332206298429156E-6</v>
      </c>
      <c r="G47" s="341">
        <f>IFERROR($F47/'List Values'!$B$9, "")</f>
        <v>7.0332206298429156E-7</v>
      </c>
      <c r="H47" s="341">
        <f>IFERROR($F47/'List Values'!$B$10, "")</f>
        <v>2.8132882519371661E-7</v>
      </c>
      <c r="I47" s="341">
        <f>IFERROR($F47/'List Values'!$B$11, "")</f>
        <v>1.4066441259685831E-7</v>
      </c>
      <c r="J47" s="341">
        <f>IFERROR($F47/'List Values'!$B$12, "")</f>
        <v>7.0332206298429155E-9</v>
      </c>
      <c r="K47" s="342">
        <f>IFERROR($F47/'List Values'!$B$13, "")</f>
        <v>7.0332206298429155E-10</v>
      </c>
      <c r="L47" s="332"/>
      <c r="M47" s="77"/>
      <c r="N47" s="600">
        <f>INDEX('Health Data'!$AB:$AB,MATCH($C$2,'Health Data'!$B:$B,0))</f>
        <v>2E-3</v>
      </c>
      <c r="O47" s="299" t="s">
        <v>103</v>
      </c>
      <c r="P47" s="601">
        <v>1E-4</v>
      </c>
      <c r="Q47" s="301">
        <f>IFERROR($N$47*$S10, "")</f>
        <v>2.8215753424657535E-5</v>
      </c>
      <c r="R47" s="301">
        <f>IFERROR($N$47*$S12, "")</f>
        <v>5.6431506849315074E-6</v>
      </c>
      <c r="S47" s="301">
        <f>IFERROR($N$47*$S14, "")</f>
        <v>2.8215753424657537E-6</v>
      </c>
      <c r="T47" s="301">
        <f>IFERROR($N$47*$S16, "")</f>
        <v>1.4107876712328769E-6</v>
      </c>
    </row>
    <row r="48" spans="2:20" ht="33" customHeight="1" thickBot="1" x14ac:dyDescent="0.25">
      <c r="B48" s="546"/>
      <c r="C48" s="544"/>
      <c r="D48" s="293" t="s">
        <v>27</v>
      </c>
      <c r="E48" s="335">
        <v>1E-4</v>
      </c>
      <c r="F48" s="337">
        <f>IFERROR($C47*IF($C$36="Worker",$H$12,$H$13), "")</f>
        <v>3.5840521565774856E-7</v>
      </c>
      <c r="G48" s="338">
        <f>IFERROR($F48/'List Values'!$B$9, "")</f>
        <v>3.5840521565774856E-8</v>
      </c>
      <c r="H48" s="338">
        <f>IFERROR($F48/'List Values'!$B$10, "")</f>
        <v>1.4336208626309942E-8</v>
      </c>
      <c r="I48" s="338">
        <f>IFERROR($F48/'List Values'!$B$11, "")</f>
        <v>7.1681043131549711E-9</v>
      </c>
      <c r="J48" s="338">
        <f>IFERROR($F48/'List Values'!$B$12, "")</f>
        <v>3.5840521565774858E-10</v>
      </c>
      <c r="K48" s="339">
        <f>IFERROR($F48/'List Values'!$B$13, "")</f>
        <v>3.5840521565774853E-11</v>
      </c>
      <c r="L48" s="332"/>
      <c r="M48" s="77"/>
      <c r="N48" s="564"/>
      <c r="O48" s="293" t="s">
        <v>27</v>
      </c>
      <c r="P48" s="602"/>
      <c r="Q48" s="321">
        <f>IFERROR($N$47*$S11, "")</f>
        <v>7.2890696347031966E-6</v>
      </c>
      <c r="R48" s="321">
        <f>IFERROR($N$47*$S13, "")</f>
        <v>1.4578139269406394E-6</v>
      </c>
      <c r="S48" s="321">
        <f>IFERROR($N$47*$S15, "")</f>
        <v>7.2890696347031968E-7</v>
      </c>
      <c r="T48" s="321">
        <f>IFERROR($N$47*$S17, "")</f>
        <v>3.6445348173515984E-7</v>
      </c>
    </row>
    <row r="49" spans="2:20" ht="33" customHeight="1" x14ac:dyDescent="0.2">
      <c r="B49" s="79"/>
      <c r="M49" s="77"/>
    </row>
    <row r="50" spans="2:20" ht="33" customHeight="1" x14ac:dyDescent="0.2">
      <c r="B50" s="79"/>
      <c r="M50" s="77"/>
    </row>
    <row r="51" spans="2:20" ht="33" customHeight="1" x14ac:dyDescent="0.2">
      <c r="B51" s="79"/>
      <c r="M51" s="77"/>
    </row>
    <row r="52" spans="2:20" ht="33" customHeight="1" x14ac:dyDescent="0.2">
      <c r="B52" s="79"/>
      <c r="M52" s="77"/>
    </row>
    <row r="53" spans="2:20" ht="33" customHeight="1" x14ac:dyDescent="0.2">
      <c r="B53" s="79"/>
      <c r="M53" s="77"/>
    </row>
    <row r="54" spans="2:20" ht="33" customHeight="1" x14ac:dyDescent="0.2">
      <c r="B54" s="79"/>
      <c r="M54" s="77"/>
    </row>
    <row r="55" spans="2:20" s="85" customFormat="1" ht="21" x14ac:dyDescent="0.35">
      <c r="C55" s="66"/>
      <c r="D55" s="66"/>
      <c r="E55" s="66"/>
      <c r="F55" s="66"/>
      <c r="G55" s="66"/>
      <c r="H55" s="66"/>
      <c r="I55" s="66"/>
      <c r="J55" s="66"/>
      <c r="K55" s="66"/>
      <c r="L55" s="66"/>
      <c r="N55" s="66"/>
      <c r="O55" s="66"/>
      <c r="P55" s="66"/>
      <c r="Q55" s="66"/>
      <c r="R55" s="66"/>
      <c r="S55" s="66"/>
      <c r="T55" s="66"/>
    </row>
    <row r="56" spans="2:20" ht="25.5" customHeight="1" x14ac:dyDescent="0.2">
      <c r="B56" s="82"/>
      <c r="M56" s="90"/>
    </row>
    <row r="57" spans="2:20" ht="14.45" customHeight="1" x14ac:dyDescent="0.2">
      <c r="B57" s="82"/>
      <c r="M57" s="90"/>
    </row>
    <row r="58" spans="2:20" x14ac:dyDescent="0.2">
      <c r="B58" s="82"/>
      <c r="M58" s="89"/>
    </row>
    <row r="59" spans="2:20" ht="21" x14ac:dyDescent="0.35">
      <c r="B59" s="82"/>
      <c r="M59" s="89"/>
      <c r="N59" s="85"/>
      <c r="T59" s="85"/>
    </row>
    <row r="63" spans="2:20" ht="29.1" customHeight="1" x14ac:dyDescent="0.2"/>
  </sheetData>
  <sheetProtection sheet="1" objects="1" scenarios="1" formatCells="0" formatColumns="0" formatRows="0"/>
  <mergeCells count="77">
    <mergeCell ref="N8:N9"/>
    <mergeCell ref="O8:O9"/>
    <mergeCell ref="D10:D11"/>
    <mergeCell ref="N10:N11"/>
    <mergeCell ref="C16:C17"/>
    <mergeCell ref="D16:D17"/>
    <mergeCell ref="E16:E17"/>
    <mergeCell ref="F16:F17"/>
    <mergeCell ref="C8:C9"/>
    <mergeCell ref="D8:D9"/>
    <mergeCell ref="N12:N13"/>
    <mergeCell ref="N14:N15"/>
    <mergeCell ref="N16:N17"/>
    <mergeCell ref="G16:H16"/>
    <mergeCell ref="D12:D13"/>
    <mergeCell ref="O20:O21"/>
    <mergeCell ref="P20:P21"/>
    <mergeCell ref="Q20:Q21"/>
    <mergeCell ref="C18:C19"/>
    <mergeCell ref="D18:D19"/>
    <mergeCell ref="Q26:Q27"/>
    <mergeCell ref="C24:C25"/>
    <mergeCell ref="N28:N29"/>
    <mergeCell ref="C22:C23"/>
    <mergeCell ref="F22:F23"/>
    <mergeCell ref="N26:N27"/>
    <mergeCell ref="O26:O27"/>
    <mergeCell ref="P26:P27"/>
    <mergeCell ref="D24:D25"/>
    <mergeCell ref="O28:O29"/>
    <mergeCell ref="D22:D23"/>
    <mergeCell ref="E22:E23"/>
    <mergeCell ref="G22:H22"/>
    <mergeCell ref="N22:N23"/>
    <mergeCell ref="O22:O23"/>
    <mergeCell ref="O34:O35"/>
    <mergeCell ref="Q34:Q35"/>
    <mergeCell ref="C28:C29"/>
    <mergeCell ref="D28:D29"/>
    <mergeCell ref="E28:E29"/>
    <mergeCell ref="F28:F29"/>
    <mergeCell ref="G28:H28"/>
    <mergeCell ref="N32:N33"/>
    <mergeCell ref="O32:O33"/>
    <mergeCell ref="P32:P33"/>
    <mergeCell ref="Q32:Q33"/>
    <mergeCell ref="C30:C31"/>
    <mergeCell ref="D30:D31"/>
    <mergeCell ref="B39:B40"/>
    <mergeCell ref="C39:C40"/>
    <mergeCell ref="D39:D40"/>
    <mergeCell ref="E39:E40"/>
    <mergeCell ref="F39:K39"/>
    <mergeCell ref="B47:B48"/>
    <mergeCell ref="C47:C48"/>
    <mergeCell ref="B41:B42"/>
    <mergeCell ref="C41:C42"/>
    <mergeCell ref="B43:B44"/>
    <mergeCell ref="C43:C44"/>
    <mergeCell ref="C45:C46"/>
    <mergeCell ref="D45:D46"/>
    <mergeCell ref="E45:E46"/>
    <mergeCell ref="F45:K45"/>
    <mergeCell ref="N34:N35"/>
    <mergeCell ref="N20:N21"/>
    <mergeCell ref="N39:N40"/>
    <mergeCell ref="P45:P46"/>
    <mergeCell ref="Q45:T45"/>
    <mergeCell ref="N47:N48"/>
    <mergeCell ref="P47:P48"/>
    <mergeCell ref="N45:N46"/>
    <mergeCell ref="O45:O46"/>
    <mergeCell ref="P39:P40"/>
    <mergeCell ref="Q39:T39"/>
    <mergeCell ref="N41:N42"/>
    <mergeCell ref="N43:N44"/>
    <mergeCell ref="O39:O40"/>
  </mergeCells>
  <conditionalFormatting sqref="E10:L13">
    <cfRule type="cellIs" dxfId="624" priority="83" operator="between">
      <formula>0.1</formula>
      <formula>0.999</formula>
    </cfRule>
    <cfRule type="cellIs" dxfId="623" priority="84" operator="between">
      <formula>1</formula>
      <formula>10</formula>
    </cfRule>
    <cfRule type="cellIs" dxfId="622" priority="86" operator="greaterThan">
      <formula>10000</formula>
    </cfRule>
    <cfRule type="cellIs" dxfId="621" priority="75" operator="greaterThanOrEqual">
      <formula>10000</formula>
    </cfRule>
    <cfRule type="cellIs" dxfId="620" priority="76" operator="greaterThanOrEqual">
      <formula>10</formula>
    </cfRule>
    <cfRule type="cellIs" dxfId="619" priority="77" operator="between">
      <formula>1</formula>
      <formula>9.999</formula>
    </cfRule>
    <cfRule type="cellIs" dxfId="618" priority="78" operator="between">
      <formula>0.1</formula>
      <formula>0.999</formula>
    </cfRule>
    <cfRule type="cellIs" dxfId="617" priority="79" operator="lessThanOrEqual">
      <formula>0.1</formula>
    </cfRule>
    <cfRule type="containsBlanks" dxfId="616" priority="80" stopIfTrue="1">
      <formula>LEN(TRIM(E10))=0</formula>
    </cfRule>
    <cfRule type="cellIs" dxfId="615" priority="81" operator="equal">
      <formula>0</formula>
    </cfRule>
    <cfRule type="cellIs" dxfId="614" priority="82" operator="lessThan">
      <formula>0.1</formula>
    </cfRule>
    <cfRule type="cellIs" dxfId="613" priority="85" operator="greaterThan">
      <formula>10</formula>
    </cfRule>
  </conditionalFormatting>
  <conditionalFormatting sqref="F48:K48">
    <cfRule type="cellIs" dxfId="612" priority="1" operator="between">
      <formula>1</formula>
      <formula>9.999</formula>
    </cfRule>
    <cfRule type="cellIs" dxfId="611" priority="2" operator="between">
      <formula>0.1</formula>
      <formula>0.999</formula>
    </cfRule>
    <cfRule type="containsBlanks" dxfId="610" priority="3" stopIfTrue="1">
      <formula>LEN(TRIM(F48))=0</formula>
    </cfRule>
    <cfRule type="cellIs" dxfId="609" priority="4" operator="greaterThanOrEqual">
      <formula>0.0001</formula>
    </cfRule>
  </conditionalFormatting>
  <conditionalFormatting sqref="F41:L42">
    <cfRule type="cellIs" dxfId="608" priority="73" operator="greaterThanOrEqual">
      <formula>$E$41</formula>
    </cfRule>
    <cfRule type="cellIs" dxfId="607" priority="74" operator="lessThan">
      <formula>$E$43</formula>
    </cfRule>
  </conditionalFormatting>
  <conditionalFormatting sqref="F41:L44">
    <cfRule type="cellIs" dxfId="606" priority="63" operator="lessThanOrEqual">
      <formula>0.1</formula>
    </cfRule>
    <cfRule type="containsBlanks" dxfId="605" priority="64" stopIfTrue="1">
      <formula>LEN(TRIM(F41))=0</formula>
    </cfRule>
    <cfRule type="cellIs" dxfId="604" priority="61" operator="between">
      <formula>1</formula>
      <formula>9.999</formula>
    </cfRule>
    <cfRule type="cellIs" dxfId="603" priority="62" operator="between">
      <formula>0.1</formula>
      <formula>0.999</formula>
    </cfRule>
    <cfRule type="cellIs" dxfId="602" priority="59" operator="greaterThanOrEqual">
      <formula>10000</formula>
    </cfRule>
    <cfRule type="cellIs" dxfId="601" priority="60" operator="greaterThanOrEqual">
      <formula>10</formula>
    </cfRule>
  </conditionalFormatting>
  <conditionalFormatting sqref="F43:L44">
    <cfRule type="cellIs" dxfId="600" priority="66" operator="lessThan">
      <formula>$E$43</formula>
    </cfRule>
    <cfRule type="cellIs" dxfId="599" priority="65" operator="greaterThanOrEqual">
      <formula>$E$43</formula>
    </cfRule>
  </conditionalFormatting>
  <conditionalFormatting sqref="F47:L47">
    <cfRule type="cellIs" dxfId="598" priority="54" operator="between">
      <formula>1</formula>
      <formula>9.999</formula>
    </cfRule>
    <cfRule type="cellIs" dxfId="597" priority="55" operator="between">
      <formula>0.1</formula>
      <formula>0.999</formula>
    </cfRule>
    <cfRule type="cellIs" dxfId="596" priority="58" operator="greaterThanOrEqual">
      <formula>0.0001</formula>
    </cfRule>
    <cfRule type="containsBlanks" dxfId="595" priority="57" stopIfTrue="1">
      <formula>LEN(TRIM(F47))=0</formula>
    </cfRule>
  </conditionalFormatting>
  <conditionalFormatting sqref="F47:L48">
    <cfRule type="cellIs" dxfId="594" priority="52" operator="greaterThanOrEqual">
      <formula>10000</formula>
    </cfRule>
    <cfRule type="cellIs" dxfId="593" priority="53" operator="greaterThanOrEqual">
      <formula>10</formula>
    </cfRule>
  </conditionalFormatting>
  <conditionalFormatting sqref="F48:L48">
    <cfRule type="cellIs" dxfId="592" priority="56" operator="lessThanOrEqual">
      <formula>0.1</formula>
    </cfRule>
  </conditionalFormatting>
  <conditionalFormatting sqref="G18:L19 G24:L25">
    <cfRule type="cellIs" dxfId="591" priority="116" operator="greaterThanOrEqual">
      <formula>10</formula>
    </cfRule>
    <cfRule type="cellIs" dxfId="590" priority="117" operator="between">
      <formula>1</formula>
      <formula>9.999</formula>
    </cfRule>
    <cfRule type="cellIs" dxfId="589" priority="118" operator="between">
      <formula>0.1</formula>
      <formula>0.999</formula>
    </cfRule>
    <cfRule type="cellIs" dxfId="588" priority="119" operator="lessThanOrEqual">
      <formula>0.1</formula>
    </cfRule>
    <cfRule type="containsBlanks" dxfId="587" priority="120" stopIfTrue="1">
      <formula>LEN(TRIM(G18))=0</formula>
    </cfRule>
    <cfRule type="cellIs" dxfId="586" priority="121" operator="lessThan">
      <formula>$F18</formula>
    </cfRule>
    <cfRule type="cellIs" dxfId="585" priority="115" operator="greaterThanOrEqual">
      <formula>10000</formula>
    </cfRule>
  </conditionalFormatting>
  <conditionalFormatting sqref="G30:L31 R34:R35">
    <cfRule type="cellIs" dxfId="584" priority="113" operator="greaterThan">
      <formula>0.0001</formula>
    </cfRule>
  </conditionalFormatting>
  <conditionalFormatting sqref="G30:L31">
    <cfRule type="cellIs" dxfId="583" priority="106" operator="greaterThanOrEqual">
      <formula>10000</formula>
    </cfRule>
    <cfRule type="cellIs" dxfId="582" priority="107" operator="greaterThanOrEqual">
      <formula>10</formula>
    </cfRule>
    <cfRule type="cellIs" dxfId="581" priority="108" operator="between">
      <formula>1</formula>
      <formula>9.999</formula>
    </cfRule>
    <cfRule type="cellIs" dxfId="580" priority="110" operator="lessThanOrEqual">
      <formula>0.1</formula>
    </cfRule>
    <cfRule type="containsBlanks" dxfId="579" priority="111" stopIfTrue="1">
      <formula>LEN(TRIM(G30))=0</formula>
    </cfRule>
    <cfRule type="cellIs" dxfId="578" priority="112" operator="equal">
      <formula>0</formula>
    </cfRule>
    <cfRule type="cellIs" dxfId="577" priority="109" operator="between">
      <formula>0.1</formula>
      <formula>0.999</formula>
    </cfRule>
  </conditionalFormatting>
  <conditionalFormatting sqref="P10:S17">
    <cfRule type="cellIs" dxfId="576" priority="41" operator="greaterThanOrEqual">
      <formula>10</formula>
    </cfRule>
    <cfRule type="containsBlanks" dxfId="575" priority="45" stopIfTrue="1">
      <formula>LEN(TRIM(P10))=0</formula>
    </cfRule>
    <cfRule type="cellIs" dxfId="574" priority="44" operator="lessThanOrEqual">
      <formula>0.1</formula>
    </cfRule>
    <cfRule type="cellIs" dxfId="573" priority="42" operator="between">
      <formula>1</formula>
      <formula>9.999</formula>
    </cfRule>
    <cfRule type="cellIs" dxfId="572" priority="40" operator="greaterThanOrEqual">
      <formula>10000</formula>
    </cfRule>
    <cfRule type="cellIs" dxfId="571" priority="51" operator="greaterThan">
      <formula>10000</formula>
    </cfRule>
    <cfRule type="cellIs" dxfId="570" priority="46" operator="equal">
      <formula>0</formula>
    </cfRule>
    <cfRule type="cellIs" dxfId="569" priority="47" operator="lessThan">
      <formula>0.1</formula>
    </cfRule>
    <cfRule type="cellIs" dxfId="568" priority="48" operator="between">
      <formula>0.1</formula>
      <formula>0.999</formula>
    </cfRule>
    <cfRule type="cellIs" dxfId="567" priority="43" operator="between">
      <formula>0.1</formula>
      <formula>0.999</formula>
    </cfRule>
    <cfRule type="cellIs" dxfId="566" priority="49" operator="between">
      <formula>1</formula>
      <formula>10</formula>
    </cfRule>
    <cfRule type="cellIs" dxfId="565" priority="50" operator="greaterThan">
      <formula>10</formula>
    </cfRule>
  </conditionalFormatting>
  <conditionalFormatting sqref="Q41:T42">
    <cfRule type="cellIs" dxfId="564" priority="32" operator="greaterThanOrEqual">
      <formula>$P$41</formula>
    </cfRule>
    <cfRule type="cellIs" dxfId="563" priority="33" operator="lessThan">
      <formula>$P$41</formula>
    </cfRule>
  </conditionalFormatting>
  <conditionalFormatting sqref="Q41:T44">
    <cfRule type="cellIs" dxfId="562" priority="6" operator="between">
      <formula>0.1</formula>
      <formula>0.999</formula>
    </cfRule>
    <cfRule type="containsBlanks" dxfId="561" priority="7" stopIfTrue="1">
      <formula>LEN(TRIM(Q41))=0</formula>
    </cfRule>
    <cfRule type="cellIs" dxfId="560" priority="8" operator="greaterThanOrEqual">
      <formula>10000</formula>
    </cfRule>
    <cfRule type="cellIs" dxfId="559" priority="9" operator="greaterThanOrEqual">
      <formula>10</formula>
    </cfRule>
    <cfRule type="cellIs" dxfId="558" priority="5" operator="between">
      <formula>1</formula>
      <formula>9.999</formula>
    </cfRule>
    <cfRule type="cellIs" dxfId="557" priority="10" operator="lessThanOrEqual">
      <formula>0.1</formula>
    </cfRule>
  </conditionalFormatting>
  <conditionalFormatting sqref="Q43:T44">
    <cfRule type="cellIs" dxfId="556" priority="12" operator="lessThan">
      <formula>$P$43</formula>
    </cfRule>
    <cfRule type="cellIs" dxfId="555" priority="11" operator="greaterThanOrEqual">
      <formula>$P$43</formula>
    </cfRule>
  </conditionalFormatting>
  <conditionalFormatting sqref="Q47:T48">
    <cfRule type="cellIs" dxfId="554" priority="13" operator="greaterThan">
      <formula>100</formula>
    </cfRule>
    <cfRule type="containsBlanks" dxfId="553" priority="16" stopIfTrue="1">
      <formula>LEN(TRIM(Q47))=0</formula>
    </cfRule>
    <cfRule type="cellIs" dxfId="552" priority="17" operator="greaterThanOrEqual">
      <formula>0.0001</formula>
    </cfRule>
    <cfRule type="cellIs" dxfId="551" priority="15" operator="lessThanOrEqual">
      <formula>0.1</formula>
    </cfRule>
    <cfRule type="cellIs" dxfId="550" priority="14" operator="between">
      <formula>1</formula>
      <formula>100</formula>
    </cfRule>
  </conditionalFormatting>
  <conditionalFormatting sqref="R22:R23 R28:R29">
    <cfRule type="containsBlanks" dxfId="549" priority="104" stopIfTrue="1">
      <formula>LEN(TRIM(R22))=0</formula>
    </cfRule>
    <cfRule type="cellIs" dxfId="548" priority="105" operator="lessThan">
      <formula>$Q22</formula>
    </cfRule>
    <cfRule type="cellIs" dxfId="547" priority="99" operator="greaterThanOrEqual">
      <formula>10000</formula>
    </cfRule>
    <cfRule type="cellIs" dxfId="546" priority="103" operator="lessThanOrEqual">
      <formula>0.1</formula>
    </cfRule>
    <cfRule type="cellIs" dxfId="545" priority="100" operator="greaterThanOrEqual">
      <formula>10</formula>
    </cfRule>
    <cfRule type="cellIs" dxfId="544" priority="101" operator="between">
      <formula>1</formula>
      <formula>9.999</formula>
    </cfRule>
    <cfRule type="cellIs" dxfId="543" priority="102" operator="between">
      <formula>0.1</formula>
      <formula>0.999</formula>
    </cfRule>
  </conditionalFormatting>
  <conditionalFormatting sqref="T12:T15">
    <cfRule type="cellIs" dxfId="542" priority="87" operator="greaterThanOrEqual">
      <formula>10000</formula>
    </cfRule>
    <cfRule type="cellIs" dxfId="541" priority="93" operator="equal">
      <formula>0</formula>
    </cfRule>
    <cfRule type="cellIs" dxfId="540" priority="97" operator="greaterThan">
      <formula>10</formula>
    </cfRule>
    <cfRule type="cellIs" dxfId="539" priority="96" operator="between">
      <formula>1</formula>
      <formula>10</formula>
    </cfRule>
    <cfRule type="cellIs" dxfId="538" priority="95" operator="between">
      <formula>0.1</formula>
      <formula>0.999</formula>
    </cfRule>
    <cfRule type="cellIs" dxfId="537" priority="94" operator="lessThan">
      <formula>0.1</formula>
    </cfRule>
    <cfRule type="containsBlanks" dxfId="536" priority="92" stopIfTrue="1">
      <formula>LEN(TRIM(T12))=0</formula>
    </cfRule>
    <cfRule type="cellIs" dxfId="535" priority="91" operator="lessThanOrEqual">
      <formula>0.1</formula>
    </cfRule>
    <cfRule type="cellIs" dxfId="534" priority="90" operator="between">
      <formula>0.1</formula>
      <formula>0.999</formula>
    </cfRule>
    <cfRule type="cellIs" dxfId="533" priority="89" operator="between">
      <formula>1</formula>
      <formula>9.999</formula>
    </cfRule>
    <cfRule type="cellIs" dxfId="532" priority="88" operator="greaterThanOrEqual">
      <formula>10</formula>
    </cfRule>
    <cfRule type="cellIs" dxfId="531" priority="98" operator="greaterThan">
      <formula>10000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5419A0F-1EFB-4C1F-851D-02AC3047378D}">
          <x14:formula1>
            <xm:f>'List Values'!$B$4:$B$5</xm:f>
          </x14:formula1>
          <xm:sqref>C36:C37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C6B0A-E11C-4EFA-98CD-DA18BF6423B1}">
  <sheetPr codeName="Sheet1">
    <tabColor rgb="FF00B0F0"/>
  </sheetPr>
  <dimension ref="A1:B17"/>
  <sheetViews>
    <sheetView zoomScaleNormal="100" workbookViewId="0"/>
  </sheetViews>
  <sheetFormatPr defaultRowHeight="15" x14ac:dyDescent="0.25"/>
  <cols>
    <col min="1" max="1" width="28.28515625" customWidth="1"/>
    <col min="2" max="2" width="78" customWidth="1"/>
  </cols>
  <sheetData>
    <row r="1" spans="1:2" ht="15.75" thickBot="1" x14ac:dyDescent="0.3"/>
    <row r="2" spans="1:2" x14ac:dyDescent="0.25">
      <c r="A2" s="136" t="s">
        <v>8</v>
      </c>
      <c r="B2" s="137" t="s">
        <v>9</v>
      </c>
    </row>
    <row r="3" spans="1:2" ht="345" x14ac:dyDescent="0.25">
      <c r="A3" s="398" t="s">
        <v>10</v>
      </c>
      <c r="B3" s="399" t="s">
        <v>497</v>
      </c>
    </row>
    <row r="4" spans="1:2" ht="45" x14ac:dyDescent="0.25">
      <c r="A4" s="398" t="s">
        <v>11</v>
      </c>
      <c r="B4" s="399" t="s">
        <v>12</v>
      </c>
    </row>
    <row r="5" spans="1:2" ht="300" x14ac:dyDescent="0.25">
      <c r="A5" s="398" t="s">
        <v>13</v>
      </c>
      <c r="B5" s="399" t="s">
        <v>456</v>
      </c>
    </row>
    <row r="6" spans="1:2" ht="150" x14ac:dyDescent="0.25">
      <c r="A6" s="138" t="s">
        <v>14</v>
      </c>
      <c r="B6" s="139" t="s">
        <v>463</v>
      </c>
    </row>
    <row r="7" spans="1:2" ht="90" x14ac:dyDescent="0.25">
      <c r="A7" s="138" t="s">
        <v>15</v>
      </c>
      <c r="B7" s="139" t="s">
        <v>513</v>
      </c>
    </row>
    <row r="8" spans="1:2" x14ac:dyDescent="0.25">
      <c r="A8" s="138" t="s">
        <v>6</v>
      </c>
      <c r="B8" s="139" t="s">
        <v>16</v>
      </c>
    </row>
    <row r="9" spans="1:2" ht="120" x14ac:dyDescent="0.25">
      <c r="A9" s="138" t="s">
        <v>17</v>
      </c>
      <c r="B9" s="139" t="s">
        <v>457</v>
      </c>
    </row>
    <row r="10" spans="1:2" ht="30" x14ac:dyDescent="0.25">
      <c r="A10" s="138" t="s">
        <v>18</v>
      </c>
      <c r="B10" s="139" t="s">
        <v>19</v>
      </c>
    </row>
    <row r="11" spans="1:2" ht="15.75" thickBot="1" x14ac:dyDescent="0.3">
      <c r="A11" s="276" t="s">
        <v>20</v>
      </c>
      <c r="B11" s="277" t="s">
        <v>458</v>
      </c>
    </row>
    <row r="12" spans="1:2" x14ac:dyDescent="0.25">
      <c r="A12" s="247"/>
      <c r="B12" s="248"/>
    </row>
    <row r="14" spans="1:2" ht="15.75" thickBot="1" x14ac:dyDescent="0.3"/>
    <row r="15" spans="1:2" ht="15.75" thickBot="1" x14ac:dyDescent="0.3">
      <c r="A15" s="141" t="s">
        <v>21</v>
      </c>
      <c r="B15" s="142"/>
    </row>
    <row r="16" spans="1:2" ht="293.25" customHeight="1" x14ac:dyDescent="0.25">
      <c r="A16" s="143" t="s">
        <v>14</v>
      </c>
      <c r="B16" s="144" t="s">
        <v>459</v>
      </c>
    </row>
    <row r="17" spans="1:2" ht="45.75" thickBot="1" x14ac:dyDescent="0.3">
      <c r="A17" s="140" t="s">
        <v>15</v>
      </c>
      <c r="B17" s="527" t="s">
        <v>460</v>
      </c>
    </row>
  </sheetData>
  <sheetProtection sheet="1" objects="1" scenarios="1" formatCells="0" formatColumns="0" formatRows="0"/>
  <pageMargins left="0.7" right="0.7" top="0.75" bottom="0.75" header="0.3" footer="0.3"/>
  <pageSetup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3832-C5DC-491B-8970-1BE1DF3D0211}">
  <sheetPr codeName="Sheet20"/>
  <dimension ref="A1:P71"/>
  <sheetViews>
    <sheetView topLeftCell="G4" workbookViewId="0">
      <selection activeCell="N9" sqref="N9"/>
    </sheetView>
  </sheetViews>
  <sheetFormatPr defaultColWidth="8.7109375" defaultRowHeight="12.75" x14ac:dyDescent="0.2"/>
  <cols>
    <col min="1" max="1" width="7.5703125" style="66" customWidth="1"/>
    <col min="2" max="2" width="35.42578125" style="66" customWidth="1"/>
    <col min="3" max="3" width="12.7109375" style="66" customWidth="1"/>
    <col min="4" max="4" width="16.7109375" style="66" customWidth="1"/>
    <col min="5" max="5" width="15.28515625" style="66" customWidth="1"/>
    <col min="6" max="6" width="15.85546875" style="66" customWidth="1"/>
    <col min="7" max="7" width="15" style="66" customWidth="1"/>
    <col min="8" max="8" width="9.140625" style="66" customWidth="1"/>
    <col min="9" max="9" width="25.42578125" style="66" customWidth="1"/>
    <col min="10" max="10" width="20" style="66" customWidth="1"/>
    <col min="11" max="12" width="14.85546875" style="66" customWidth="1"/>
    <col min="13" max="13" width="16.42578125" style="66" customWidth="1"/>
    <col min="14" max="14" width="14.85546875" style="66" customWidth="1"/>
    <col min="15" max="16384" width="8.7109375" style="66"/>
  </cols>
  <sheetData>
    <row r="1" spans="1:16" ht="21" x14ac:dyDescent="0.35">
      <c r="B1" s="83"/>
    </row>
    <row r="2" spans="1:16" ht="21" x14ac:dyDescent="0.35">
      <c r="B2" s="83" t="s">
        <v>461</v>
      </c>
      <c r="I2" s="68"/>
      <c r="P2" s="67"/>
    </row>
    <row r="3" spans="1:16" ht="15.75" x14ac:dyDescent="0.25">
      <c r="B3" s="67"/>
      <c r="I3" s="68"/>
      <c r="P3" s="67"/>
    </row>
    <row r="4" spans="1:16" ht="21" x14ac:dyDescent="0.35">
      <c r="B4" s="84" t="s">
        <v>83</v>
      </c>
      <c r="C4" s="85"/>
      <c r="D4" s="85"/>
      <c r="E4" s="85"/>
      <c r="F4" s="85"/>
      <c r="G4" s="85"/>
      <c r="H4" s="85"/>
      <c r="I4" s="84" t="s">
        <v>29</v>
      </c>
      <c r="P4" s="67"/>
    </row>
    <row r="5" spans="1:16" ht="21" x14ac:dyDescent="0.35">
      <c r="B5" s="85"/>
      <c r="C5" s="85"/>
      <c r="D5" s="85"/>
      <c r="E5" s="85"/>
      <c r="F5" s="85"/>
      <c r="G5" s="85"/>
      <c r="H5" s="85"/>
      <c r="I5" s="83"/>
      <c r="P5" s="67"/>
    </row>
    <row r="6" spans="1:16" ht="21" x14ac:dyDescent="0.35">
      <c r="B6" s="83" t="s">
        <v>84</v>
      </c>
      <c r="C6" s="85"/>
      <c r="D6" s="85"/>
      <c r="E6" s="85"/>
      <c r="F6" s="85"/>
      <c r="G6" s="85"/>
      <c r="H6" s="85"/>
      <c r="I6" s="83" t="s">
        <v>84</v>
      </c>
      <c r="P6" s="67"/>
    </row>
    <row r="7" spans="1:16" ht="15.75" x14ac:dyDescent="0.25">
      <c r="B7" s="67"/>
      <c r="I7" s="68"/>
      <c r="P7" s="67"/>
    </row>
    <row r="8" spans="1:16" ht="38.25" x14ac:dyDescent="0.25">
      <c r="B8" s="592" t="s">
        <v>85</v>
      </c>
      <c r="C8" s="593" t="s">
        <v>23</v>
      </c>
      <c r="D8" s="411" t="s">
        <v>86</v>
      </c>
      <c r="E8" s="411" t="s">
        <v>87</v>
      </c>
      <c r="F8" s="411" t="s">
        <v>89</v>
      </c>
      <c r="G8" s="411" t="s">
        <v>90</v>
      </c>
      <c r="H8" s="1"/>
      <c r="I8" s="592" t="s">
        <v>85</v>
      </c>
      <c r="J8" s="592" t="s">
        <v>23</v>
      </c>
      <c r="K8" s="411" t="s">
        <v>91</v>
      </c>
      <c r="L8" s="411" t="s">
        <v>92</v>
      </c>
      <c r="M8" s="411" t="s">
        <v>94</v>
      </c>
      <c r="N8" s="411" t="s">
        <v>95</v>
      </c>
      <c r="P8" s="67"/>
    </row>
    <row r="9" spans="1:16" ht="27" x14ac:dyDescent="0.25">
      <c r="B9" s="592"/>
      <c r="C9" s="593"/>
      <c r="D9" s="411" t="s">
        <v>180</v>
      </c>
      <c r="E9" s="411" t="s">
        <v>181</v>
      </c>
      <c r="F9" s="411" t="s">
        <v>182</v>
      </c>
      <c r="G9" s="411" t="s">
        <v>183</v>
      </c>
      <c r="H9" s="1"/>
      <c r="I9" s="592"/>
      <c r="J9" s="592"/>
      <c r="K9" s="411" t="s">
        <v>100</v>
      </c>
      <c r="L9" s="411" t="s">
        <v>184</v>
      </c>
      <c r="M9" s="411" t="s">
        <v>185</v>
      </c>
      <c r="N9" s="411" t="s">
        <v>509</v>
      </c>
      <c r="P9" s="67"/>
    </row>
    <row r="10" spans="1:16" ht="15.75" x14ac:dyDescent="0.25">
      <c r="B10" s="88" t="s">
        <v>30</v>
      </c>
      <c r="C10" s="594" t="s">
        <v>103</v>
      </c>
      <c r="D10" s="69">
        <f>INDEX('Inhalation Exposures'!$I$7:$I$74, MATCH($B$2, 'Inhalation Exposures'!$A$7:$A$74, 0))</f>
        <v>4.7350793209410651E-2</v>
      </c>
      <c r="E10" s="69">
        <f>INDEX('Inhalation Exposures'!$K7:$K74, MATCH($B$2, 'Inhalation Exposures'!$A$7:$A$74, 0))</f>
        <v>3.2211423951980039E-2</v>
      </c>
      <c r="F10" s="69">
        <f>INDEX('Inhalation Exposures'!$O$7:$O$74, MATCH($B$2, 'Inhalation Exposures'!$A$7:$A$74, 0))</f>
        <v>2.2062619145191805E-2</v>
      </c>
      <c r="G10" s="69">
        <f>INDEX('Inhalation Exposures'!$Q$7:$Q$74, MATCH($B$2, 'Inhalation Exposures'!$A$7:$A$74, 0))</f>
        <v>1.1314163664200927E-2</v>
      </c>
      <c r="H10" s="1"/>
      <c r="I10" s="595" t="s">
        <v>104</v>
      </c>
      <c r="J10" s="412" t="s">
        <v>103</v>
      </c>
      <c r="K10" s="316" t="e">
        <f>INDEX('Dermal Exposures'!$J$5:$J$34, MATCH($B$2, 'Dermal Exposures'!$A$5:$A$34, 0))</f>
        <v>#N/A</v>
      </c>
      <c r="L10" s="316" t="e">
        <f>INDEX('Dermal Exposures'!$K$5:$K$34, MATCH($B$2, 'Dermal Exposures'!$A$5:$A$34, 0))</f>
        <v>#N/A</v>
      </c>
      <c r="M10" s="316" t="e">
        <f>INDEX('Dermal Exposures'!$M$5:$M$34, MATCH($B$2, 'Dermal Exposures'!$A$5:$A$34, 0))</f>
        <v>#N/A</v>
      </c>
      <c r="N10" s="316" t="e">
        <f>INDEX('Dermal Exposures'!$N$5:$N$34, MATCH($B$2, 'Dermal Exposures'!$A$5:$A$34, 0))</f>
        <v>#N/A</v>
      </c>
      <c r="P10" s="67"/>
    </row>
    <row r="11" spans="1:16" ht="15.75" x14ac:dyDescent="0.25">
      <c r="B11" s="88" t="s">
        <v>28</v>
      </c>
      <c r="C11" s="594"/>
      <c r="D11" s="69">
        <f>INDEX('Inhalation Exposures'!$I$20:$I$81, MATCH($B$2, 'Inhalation Exposures'!$A$20:$A$81, 0))</f>
        <v>1.0378256045898225E-2</v>
      </c>
      <c r="E11" s="69">
        <f>INDEX('Inhalation Exposures'!$K$20:$K$81, MATCH($B$2, 'Inhalation Exposures'!$A$20:$A$81, 0))</f>
        <v>7.0600381264613772E-3</v>
      </c>
      <c r="F11" s="69">
        <f>INDEX('Inhalation Exposures'!$O$20:$O$81, MATCH($B$2, 'Inhalation Exposures'!$A$20:$A$81, 0))</f>
        <v>4.8356425523708065E-3</v>
      </c>
      <c r="G11" s="69">
        <f>INDEX('Inhalation Exposures'!$Q$20:$Q$81, MATCH($B$2, 'Inhalation Exposures'!$A$20:$A$81, 0))</f>
        <v>2.4798166935234905E-3</v>
      </c>
      <c r="H11" s="1"/>
      <c r="I11" s="595"/>
      <c r="J11" s="412" t="s">
        <v>27</v>
      </c>
      <c r="K11" s="316" t="e">
        <f>INDEX('Dermal Exposures'!$O$5:$O$34, MATCH($B$2, 'Dermal Exposures'!$A$5:$A$34, 0))</f>
        <v>#N/A</v>
      </c>
      <c r="L11" s="316" t="e">
        <f>INDEX('Dermal Exposures'!$P$5:$P$34, MATCH($B$2, 'Dermal Exposures'!$A$5:$A$34, 0))</f>
        <v>#N/A</v>
      </c>
      <c r="M11" s="316" t="e">
        <f>INDEX('Dermal Exposures'!$R$5:$R$34, MATCH($B$2, 'Dermal Exposures'!$A$5:$A$34, 0))</f>
        <v>#N/A</v>
      </c>
      <c r="N11" s="316" t="e">
        <f>INDEX('Dermal Exposures'!$S$5:$S$34, MATCH($B$2, 'Dermal Exposures'!$A$5:$A$34, 0))</f>
        <v>#N/A</v>
      </c>
      <c r="P11" s="67"/>
    </row>
    <row r="12" spans="1:16" ht="15.75" x14ac:dyDescent="0.25">
      <c r="B12" s="88" t="s">
        <v>30</v>
      </c>
      <c r="C12" s="591" t="s">
        <v>27</v>
      </c>
      <c r="D12" s="69">
        <f>INDEX('Inhalation Exposures'!$J$7:$J$74, MATCH($B$2, 'Inhalation Exposures'!$A$7:$A$74, 0))</f>
        <v>3.1134768137694672E-3</v>
      </c>
      <c r="E12" s="69">
        <f>INDEX('Inhalation Exposures'!$L$7:$L$74, MATCH($B$2, 'Inhalation Exposures'!$A$7:$A$74, 0))</f>
        <v>2.1180114379384133E-3</v>
      </c>
      <c r="F12" s="69">
        <f>INDEX('Inhalation Exposures'!$P$7:$P$74, MATCH($B$2, 'Inhalation Exposures'!$A$7:$A$74, 0))</f>
        <v>1.450692765711242E-3</v>
      </c>
      <c r="G12" s="69">
        <f>INDEX('Inhalation Exposures'!$R$7:$R$74, MATCH($B$2, 'Inhalation Exposures'!$A$7:$A$74, 0))</f>
        <v>5.7655738124421155E-4</v>
      </c>
      <c r="H12" s="1"/>
      <c r="I12" s="68"/>
      <c r="P12" s="67"/>
    </row>
    <row r="13" spans="1:16" ht="15.75" x14ac:dyDescent="0.25">
      <c r="B13" s="88" t="s">
        <v>28</v>
      </c>
      <c r="C13" s="591"/>
      <c r="D13" s="69">
        <f>INDEX('Inhalation Exposures'!$J$20:$J$81, MATCH($B$2, 'Inhalation Exposures'!$A$20:$A$81, 0))</f>
        <v>9.0809740401609466E-5</v>
      </c>
      <c r="E13" s="69">
        <f>INDEX('Inhalation Exposures'!$L$20:$L$81, MATCH($B$2, 'Inhalation Exposures'!$A$20:$A$81, 0))</f>
        <v>6.1775333606537059E-5</v>
      </c>
      <c r="F13" s="69">
        <f>INDEX('Inhalation Exposures'!$P$20:$P$81, MATCH($B$2, 'Inhalation Exposures'!$A$20:$A$81, 0))</f>
        <v>4.2311872333244561E-5</v>
      </c>
      <c r="G13" s="69">
        <f>INDEX('Inhalation Exposures'!$R$20:$R$81, MATCH($B$2, 'Inhalation Exposures'!$A$20:$A$81, 0))</f>
        <v>1.6816256952956169E-5</v>
      </c>
      <c r="H13" s="1"/>
      <c r="I13" s="68"/>
      <c r="P13" s="67"/>
    </row>
    <row r="15" spans="1:16" ht="21" x14ac:dyDescent="0.35">
      <c r="B15" s="83" t="s">
        <v>105</v>
      </c>
      <c r="I15" s="83" t="s">
        <v>113</v>
      </c>
    </row>
    <row r="16" spans="1:16" ht="28.5" customHeight="1" x14ac:dyDescent="0.2">
      <c r="A16" s="70"/>
      <c r="B16" s="568" t="s">
        <v>106</v>
      </c>
      <c r="C16" s="568" t="s">
        <v>107</v>
      </c>
      <c r="D16" s="568" t="s">
        <v>23</v>
      </c>
      <c r="E16" s="568" t="s">
        <v>108</v>
      </c>
      <c r="F16" s="568" t="s">
        <v>109</v>
      </c>
      <c r="G16" s="568"/>
      <c r="I16" s="610" t="s">
        <v>106</v>
      </c>
      <c r="J16" s="570" t="s">
        <v>114</v>
      </c>
      <c r="K16" s="570" t="s">
        <v>23</v>
      </c>
      <c r="L16" s="570" t="s">
        <v>108</v>
      </c>
      <c r="M16" s="411" t="s">
        <v>109</v>
      </c>
    </row>
    <row r="17" spans="1:13" ht="26.1" customHeight="1" x14ac:dyDescent="0.2">
      <c r="A17" s="70"/>
      <c r="B17" s="582"/>
      <c r="C17" s="582"/>
      <c r="D17" s="568"/>
      <c r="E17" s="568"/>
      <c r="F17" s="415" t="s">
        <v>110</v>
      </c>
      <c r="G17" s="415" t="s">
        <v>111</v>
      </c>
      <c r="I17" s="570"/>
      <c r="J17" s="571"/>
      <c r="K17" s="571"/>
      <c r="L17" s="571"/>
      <c r="M17" s="414" t="s">
        <v>116</v>
      </c>
    </row>
    <row r="18" spans="1:13" ht="27.6" customHeight="1" x14ac:dyDescent="0.2">
      <c r="A18" s="73"/>
      <c r="B18" s="577" t="s">
        <v>186</v>
      </c>
      <c r="C18" s="589">
        <f>INDEX('Health Data'!$G:$G,MATCH($B$2,'Health Data'!$B:$B,0))</f>
        <v>50.091840339102788</v>
      </c>
      <c r="D18" s="71" t="s">
        <v>103</v>
      </c>
      <c r="E18" s="100">
        <v>30</v>
      </c>
      <c r="F18" s="101">
        <f>C18/$E$10</f>
        <v>1555.0954969820152</v>
      </c>
      <c r="G18" s="102">
        <f>C18/$E$11</f>
        <v>7095.1232049804457</v>
      </c>
      <c r="I18" s="606" t="s">
        <v>186</v>
      </c>
      <c r="J18" s="589">
        <f>INDEX('Health Data'!$K:$K,MATCH($B$2,'Health Data'!$B:$B,0))</f>
        <v>32</v>
      </c>
      <c r="K18" s="72" t="s">
        <v>103</v>
      </c>
      <c r="L18" s="100">
        <v>30</v>
      </c>
      <c r="M18" s="101" t="e">
        <f>J18/$L$10</f>
        <v>#N/A</v>
      </c>
    </row>
    <row r="19" spans="1:13" ht="25.5" customHeight="1" x14ac:dyDescent="0.2">
      <c r="A19" s="73"/>
      <c r="B19" s="604"/>
      <c r="C19" s="590"/>
      <c r="D19" s="71" t="s">
        <v>27</v>
      </c>
      <c r="E19" s="100">
        <v>30</v>
      </c>
      <c r="F19" s="101">
        <f>C18/$E$12</f>
        <v>23650.41068326815</v>
      </c>
      <c r="G19" s="102">
        <f>C18/$E$13</f>
        <v>810871.22342633654</v>
      </c>
      <c r="I19" s="577"/>
      <c r="J19" s="590"/>
      <c r="K19" s="72" t="s">
        <v>27</v>
      </c>
      <c r="L19" s="100">
        <v>30</v>
      </c>
      <c r="M19" s="101" t="e">
        <f>J18/$L$11</f>
        <v>#N/A</v>
      </c>
    </row>
    <row r="20" spans="1:13" x14ac:dyDescent="0.2">
      <c r="A20" s="73"/>
      <c r="B20" s="87"/>
      <c r="C20" s="75"/>
      <c r="D20" s="76"/>
      <c r="E20" s="75"/>
      <c r="F20" s="77"/>
      <c r="G20" s="77"/>
      <c r="I20" s="74"/>
      <c r="J20" s="78"/>
    </row>
    <row r="21" spans="1:13" ht="25.5" customHeight="1" x14ac:dyDescent="0.35">
      <c r="A21" s="73"/>
      <c r="B21" s="83" t="s">
        <v>122</v>
      </c>
      <c r="C21" s="85"/>
      <c r="D21" s="85"/>
      <c r="E21" s="86"/>
      <c r="F21" s="85"/>
      <c r="G21" s="85"/>
      <c r="I21" s="83" t="s">
        <v>125</v>
      </c>
      <c r="J21" s="85"/>
      <c r="K21" s="85"/>
      <c r="L21" s="85"/>
      <c r="M21" s="85"/>
    </row>
    <row r="22" spans="1:13" ht="25.5" customHeight="1" x14ac:dyDescent="0.2">
      <c r="A22" s="73"/>
      <c r="B22" s="568" t="s">
        <v>106</v>
      </c>
      <c r="C22" s="582" t="s">
        <v>107</v>
      </c>
      <c r="D22" s="568" t="s">
        <v>23</v>
      </c>
      <c r="E22" s="568" t="s">
        <v>108</v>
      </c>
      <c r="F22" s="568" t="s">
        <v>123</v>
      </c>
      <c r="G22" s="568"/>
      <c r="I22" s="566" t="s">
        <v>106</v>
      </c>
      <c r="J22" s="566" t="s">
        <v>121</v>
      </c>
      <c r="K22" s="566" t="s">
        <v>23</v>
      </c>
      <c r="L22" s="566" t="s">
        <v>108</v>
      </c>
      <c r="M22" s="411" t="s">
        <v>123</v>
      </c>
    </row>
    <row r="23" spans="1:13" ht="25.5" customHeight="1" x14ac:dyDescent="0.2">
      <c r="A23" s="73"/>
      <c r="B23" s="582"/>
      <c r="C23" s="530"/>
      <c r="D23" s="568"/>
      <c r="E23" s="568"/>
      <c r="F23" s="413" t="s">
        <v>110</v>
      </c>
      <c r="G23" s="413" t="s">
        <v>111</v>
      </c>
      <c r="I23" s="581"/>
      <c r="J23" s="567"/>
      <c r="K23" s="567"/>
      <c r="L23" s="567"/>
      <c r="M23" s="411" t="s">
        <v>116</v>
      </c>
    </row>
    <row r="24" spans="1:13" ht="25.5" customHeight="1" x14ac:dyDescent="0.2">
      <c r="A24" s="73"/>
      <c r="B24" s="577" t="s">
        <v>187</v>
      </c>
      <c r="C24" s="578">
        <f>INDEX('Health Data'!$P:$P,MATCH($B$2,'Health Data'!$B:$B,0))</f>
        <v>4.9516072059342982</v>
      </c>
      <c r="D24" s="72" t="s">
        <v>103</v>
      </c>
      <c r="E24" s="412">
        <v>10</v>
      </c>
      <c r="F24" s="419">
        <f>C24/$F$10</f>
        <v>224.43424207018603</v>
      </c>
      <c r="G24" s="419">
        <f>C24/$F$11</f>
        <v>1023.9812294452238</v>
      </c>
      <c r="I24" s="606" t="s">
        <v>187</v>
      </c>
      <c r="J24" s="580">
        <f>INDEX('Health Data'!$T:$T,MATCH($B$2,'Health Data'!$B:$B,0))</f>
        <v>3</v>
      </c>
      <c r="K24" s="72" t="s">
        <v>103</v>
      </c>
      <c r="L24" s="412">
        <v>10</v>
      </c>
      <c r="M24" s="108" t="e">
        <f>J24/$M$10</f>
        <v>#N/A</v>
      </c>
    </row>
    <row r="25" spans="1:13" ht="25.5" customHeight="1" x14ac:dyDescent="0.2">
      <c r="A25" s="73"/>
      <c r="B25" s="577"/>
      <c r="C25" s="609"/>
      <c r="D25" s="72" t="s">
        <v>27</v>
      </c>
      <c r="E25" s="412">
        <v>10</v>
      </c>
      <c r="F25" s="419">
        <f>C24/$F$12</f>
        <v>3413.2707648174123</v>
      </c>
      <c r="G25" s="419">
        <f>C24/$F$13</f>
        <v>117026.42622231127</v>
      </c>
      <c r="I25" s="577"/>
      <c r="J25" s="555"/>
      <c r="K25" s="72" t="s">
        <v>27</v>
      </c>
      <c r="L25" s="412">
        <v>10</v>
      </c>
      <c r="M25" s="108" t="e">
        <f>J24/$M$11</f>
        <v>#N/A</v>
      </c>
    </row>
    <row r="26" spans="1:13" x14ac:dyDescent="0.2">
      <c r="A26" s="73"/>
      <c r="B26" s="80"/>
      <c r="C26" s="75"/>
      <c r="D26" s="81"/>
      <c r="E26" s="75"/>
      <c r="F26" s="77"/>
      <c r="G26" s="77"/>
    </row>
    <row r="27" spans="1:13" ht="29.1" customHeight="1" x14ac:dyDescent="0.35">
      <c r="A27" s="73"/>
      <c r="B27" s="83" t="s">
        <v>126</v>
      </c>
      <c r="C27" s="85"/>
      <c r="D27" s="85"/>
      <c r="E27" s="85"/>
      <c r="F27" s="85"/>
      <c r="G27" s="85"/>
      <c r="H27" s="85"/>
      <c r="I27" s="83" t="s">
        <v>126</v>
      </c>
      <c r="J27" s="85"/>
      <c r="K27" s="85"/>
      <c r="L27" s="85"/>
      <c r="M27" s="85"/>
    </row>
    <row r="28" spans="1:13" ht="25.5" customHeight="1" x14ac:dyDescent="0.2">
      <c r="A28" s="73"/>
      <c r="B28" s="582" t="s">
        <v>127</v>
      </c>
      <c r="C28" s="566" t="s">
        <v>128</v>
      </c>
      <c r="D28" s="566" t="s">
        <v>23</v>
      </c>
      <c r="E28" s="583" t="s">
        <v>129</v>
      </c>
      <c r="F28" s="568" t="s">
        <v>130</v>
      </c>
      <c r="G28" s="568"/>
      <c r="I28" s="566" t="s">
        <v>127</v>
      </c>
      <c r="J28" s="566" t="s">
        <v>133</v>
      </c>
      <c r="K28" s="566" t="s">
        <v>23</v>
      </c>
      <c r="L28" s="566" t="s">
        <v>129</v>
      </c>
      <c r="M28" s="411" t="s">
        <v>130</v>
      </c>
    </row>
    <row r="29" spans="1:13" s="85" customFormat="1" ht="21" x14ac:dyDescent="0.35">
      <c r="A29" s="83"/>
      <c r="B29" s="608"/>
      <c r="C29" s="567"/>
      <c r="D29" s="567"/>
      <c r="E29" s="584"/>
      <c r="F29" s="413" t="s">
        <v>131</v>
      </c>
      <c r="G29" s="413" t="s">
        <v>28</v>
      </c>
      <c r="I29" s="581"/>
      <c r="J29" s="581"/>
      <c r="K29" s="567"/>
      <c r="L29" s="567"/>
      <c r="M29" s="411" t="s">
        <v>135</v>
      </c>
    </row>
    <row r="30" spans="1:13" ht="26.1" customHeight="1" x14ac:dyDescent="0.2">
      <c r="A30" s="79"/>
      <c r="B30" s="607" t="s">
        <v>188</v>
      </c>
      <c r="C30" s="574">
        <f>INDEX('Health Data'!$Y:$Y,MATCH($B$2,'Health Data'!$B:$B,0))</f>
        <v>2.0146993865030676E-5</v>
      </c>
      <c r="D30" s="71" t="s">
        <v>103</v>
      </c>
      <c r="E30" s="107">
        <v>1E-4</v>
      </c>
      <c r="F30" s="107">
        <f>G10*C30</f>
        <v>2.2794638593060907E-7</v>
      </c>
      <c r="G30" s="107">
        <f>G11*C30</f>
        <v>4.9960851710818418E-8</v>
      </c>
      <c r="I30" s="577" t="s">
        <v>189</v>
      </c>
      <c r="J30" s="574">
        <f>INDEX('Health Data'!$AB:$AB,MATCH($B$2,'Health Data'!$B:$B,0))</f>
        <v>3.1999999999999999E-5</v>
      </c>
      <c r="K30" s="72" t="s">
        <v>103</v>
      </c>
      <c r="L30" s="107">
        <v>1E-4</v>
      </c>
      <c r="M30" s="107" t="e">
        <f>J30*N10</f>
        <v>#N/A</v>
      </c>
    </row>
    <row r="31" spans="1:13" x14ac:dyDescent="0.2">
      <c r="A31" s="79"/>
      <c r="B31" s="607"/>
      <c r="C31" s="575"/>
      <c r="D31" s="71" t="s">
        <v>27</v>
      </c>
      <c r="E31" s="107">
        <v>1E-4</v>
      </c>
      <c r="F31" s="107">
        <f>G12*C30</f>
        <v>1.1615898022765283E-8</v>
      </c>
      <c r="G31" s="107">
        <f>G13*C30</f>
        <v>3.3879702566398738E-10</v>
      </c>
      <c r="I31" s="604"/>
      <c r="J31" s="575"/>
      <c r="K31" s="72" t="s">
        <v>27</v>
      </c>
      <c r="L31" s="107">
        <v>1E-4</v>
      </c>
      <c r="M31" s="107" t="e">
        <f>J30*N11</f>
        <v>#N/A</v>
      </c>
    </row>
    <row r="32" spans="1:13" ht="33" customHeight="1" x14ac:dyDescent="0.2">
      <c r="A32" s="79"/>
    </row>
    <row r="33" spans="1:9" ht="33" customHeight="1" x14ac:dyDescent="0.2">
      <c r="A33" s="79"/>
      <c r="B33" s="68" t="s">
        <v>179</v>
      </c>
      <c r="I33" s="68" t="s">
        <v>157</v>
      </c>
    </row>
    <row r="34" spans="1:9" ht="33" customHeight="1" x14ac:dyDescent="0.2">
      <c r="A34" s="79"/>
    </row>
    <row r="35" spans="1:9" ht="33" customHeight="1" x14ac:dyDescent="0.2">
      <c r="A35" s="79"/>
    </row>
    <row r="36" spans="1:9" ht="33" customHeight="1" x14ac:dyDescent="0.2">
      <c r="A36" s="79"/>
    </row>
    <row r="37" spans="1:9" ht="33" customHeight="1" x14ac:dyDescent="0.2">
      <c r="A37" s="79"/>
    </row>
    <row r="38" spans="1:9" ht="33" customHeight="1" x14ac:dyDescent="0.2">
      <c r="A38" s="79"/>
    </row>
    <row r="39" spans="1:9" ht="33" customHeight="1" x14ac:dyDescent="0.2">
      <c r="A39" s="79"/>
    </row>
    <row r="40" spans="1:9" ht="33" customHeight="1" x14ac:dyDescent="0.2">
      <c r="A40" s="79"/>
    </row>
    <row r="41" spans="1:9" ht="33" customHeight="1" x14ac:dyDescent="0.2">
      <c r="A41" s="79"/>
    </row>
    <row r="42" spans="1:9" ht="33" customHeight="1" x14ac:dyDescent="0.2">
      <c r="A42" s="79"/>
    </row>
    <row r="43" spans="1:9" ht="33" customHeight="1" x14ac:dyDescent="0.2">
      <c r="A43" s="79"/>
    </row>
    <row r="44" spans="1:9" ht="33" customHeight="1" x14ac:dyDescent="0.2">
      <c r="A44" s="79"/>
    </row>
    <row r="45" spans="1:9" ht="33" customHeight="1" x14ac:dyDescent="0.2">
      <c r="A45" s="79"/>
    </row>
    <row r="46" spans="1:9" ht="33" customHeight="1" x14ac:dyDescent="0.2">
      <c r="A46" s="79"/>
    </row>
    <row r="47" spans="1:9" ht="33" customHeight="1" x14ac:dyDescent="0.2">
      <c r="A47" s="79"/>
    </row>
    <row r="48" spans="1:9" ht="33" customHeight="1" x14ac:dyDescent="0.2">
      <c r="A48" s="79"/>
    </row>
    <row r="49" spans="1:14" ht="33" customHeight="1" x14ac:dyDescent="0.2">
      <c r="A49" s="79"/>
    </row>
    <row r="50" spans="1:14" ht="33" customHeight="1" x14ac:dyDescent="0.2">
      <c r="A50" s="79"/>
    </row>
    <row r="51" spans="1:14" ht="33" customHeight="1" x14ac:dyDescent="0.2">
      <c r="A51" s="79"/>
    </row>
    <row r="52" spans="1:14" ht="33" customHeight="1" x14ac:dyDescent="0.2">
      <c r="A52" s="79"/>
    </row>
    <row r="53" spans="1:14" ht="33" customHeight="1" x14ac:dyDescent="0.2">
      <c r="A53" s="79"/>
    </row>
    <row r="54" spans="1:14" ht="33" customHeight="1" x14ac:dyDescent="0.2">
      <c r="A54" s="79"/>
    </row>
    <row r="55" spans="1:14" ht="33" customHeight="1" x14ac:dyDescent="0.2">
      <c r="A55" s="79"/>
    </row>
    <row r="56" spans="1:14" ht="33" customHeight="1" x14ac:dyDescent="0.2">
      <c r="A56" s="79"/>
    </row>
    <row r="57" spans="1:14" ht="33" customHeight="1" x14ac:dyDescent="0.2">
      <c r="A57" s="79"/>
    </row>
    <row r="58" spans="1:14" ht="33" customHeight="1" x14ac:dyDescent="0.2">
      <c r="A58" s="79"/>
    </row>
    <row r="59" spans="1:14" ht="33" customHeight="1" x14ac:dyDescent="0.2">
      <c r="A59" s="79"/>
    </row>
    <row r="60" spans="1:14" ht="33" customHeight="1" x14ac:dyDescent="0.2">
      <c r="A60" s="79"/>
    </row>
    <row r="61" spans="1:14" ht="33" customHeight="1" x14ac:dyDescent="0.35">
      <c r="A61" s="79"/>
      <c r="H61" s="85"/>
      <c r="N61" s="85"/>
    </row>
    <row r="62" spans="1:14" ht="33" customHeight="1" x14ac:dyDescent="0.2">
      <c r="A62" s="79"/>
    </row>
    <row r="63" spans="1:14" s="85" customFormat="1" ht="21" x14ac:dyDescent="0.35">
      <c r="B63" s="66"/>
      <c r="C63" s="66"/>
      <c r="D63" s="66"/>
      <c r="E63" s="66"/>
      <c r="F63" s="66"/>
      <c r="G63" s="66"/>
      <c r="H63" s="66"/>
      <c r="I63" s="66"/>
      <c r="J63" s="66"/>
      <c r="K63" s="66"/>
      <c r="L63" s="66"/>
      <c r="M63" s="66"/>
      <c r="N63" s="66"/>
    </row>
    <row r="64" spans="1:14" ht="25.5" customHeight="1" x14ac:dyDescent="0.2">
      <c r="A64" s="76"/>
    </row>
    <row r="65" spans="1:1" ht="14.45" customHeight="1" x14ac:dyDescent="0.2">
      <c r="A65" s="76"/>
    </row>
    <row r="66" spans="1:1" x14ac:dyDescent="0.2">
      <c r="A66" s="76"/>
    </row>
    <row r="67" spans="1:1" x14ac:dyDescent="0.2">
      <c r="A67" s="76"/>
    </row>
    <row r="71" spans="1:1" ht="29.1" customHeight="1" x14ac:dyDescent="0.2"/>
  </sheetData>
  <sheetProtection sheet="1" objects="1" scenarios="1" formatCells="0" formatColumns="0" formatRows="0"/>
  <mergeCells count="46">
    <mergeCell ref="I10:I11"/>
    <mergeCell ref="J8:J9"/>
    <mergeCell ref="I8:I9"/>
    <mergeCell ref="K28:K29"/>
    <mergeCell ref="L28:L29"/>
    <mergeCell ref="K22:K23"/>
    <mergeCell ref="L22:L23"/>
    <mergeCell ref="I16:I17"/>
    <mergeCell ref="J16:J17"/>
    <mergeCell ref="K16:K17"/>
    <mergeCell ref="L16:L17"/>
    <mergeCell ref="B24:B25"/>
    <mergeCell ref="I24:I25"/>
    <mergeCell ref="J24:J25"/>
    <mergeCell ref="B22:B23"/>
    <mergeCell ref="D22:D23"/>
    <mergeCell ref="E22:E23"/>
    <mergeCell ref="F22:G22"/>
    <mergeCell ref="C22:C23"/>
    <mergeCell ref="C24:C25"/>
    <mergeCell ref="I22:I23"/>
    <mergeCell ref="J22:J23"/>
    <mergeCell ref="C28:C29"/>
    <mergeCell ref="B30:B31"/>
    <mergeCell ref="I30:I31"/>
    <mergeCell ref="J30:J31"/>
    <mergeCell ref="B28:B29"/>
    <mergeCell ref="D28:D29"/>
    <mergeCell ref="E28:E29"/>
    <mergeCell ref="F28:G28"/>
    <mergeCell ref="I28:I29"/>
    <mergeCell ref="J28:J29"/>
    <mergeCell ref="C30:C31"/>
    <mergeCell ref="B18:B19"/>
    <mergeCell ref="I18:I19"/>
    <mergeCell ref="J18:J19"/>
    <mergeCell ref="F16:G16"/>
    <mergeCell ref="C16:C17"/>
    <mergeCell ref="C18:C19"/>
    <mergeCell ref="C12:C13"/>
    <mergeCell ref="B16:B17"/>
    <mergeCell ref="D16:D17"/>
    <mergeCell ref="E16:E17"/>
    <mergeCell ref="B8:B9"/>
    <mergeCell ref="C8:C9"/>
    <mergeCell ref="C10:C11"/>
  </mergeCells>
  <conditionalFormatting sqref="F18:G19 F24:G25">
    <cfRule type="cellIs" dxfId="530" priority="61" operator="lessThan">
      <formula>$E18</formula>
    </cfRule>
    <cfRule type="containsBlanks" dxfId="529" priority="60" stopIfTrue="1">
      <formula>LEN(TRIM(F18))=0</formula>
    </cfRule>
    <cfRule type="cellIs" dxfId="528" priority="59" operator="lessThanOrEqual">
      <formula>0.1</formula>
    </cfRule>
    <cfRule type="cellIs" dxfId="527" priority="58" operator="between">
      <formula>0.1</formula>
      <formula>0.999</formula>
    </cfRule>
    <cfRule type="cellIs" dxfId="526" priority="57" operator="between">
      <formula>1</formula>
      <formula>9.999</formula>
    </cfRule>
    <cfRule type="cellIs" dxfId="525" priority="56" operator="greaterThanOrEqual">
      <formula>10</formula>
    </cfRule>
    <cfRule type="cellIs" dxfId="524" priority="55" operator="greaterThanOrEqual">
      <formula>10000</formula>
    </cfRule>
  </conditionalFormatting>
  <conditionalFormatting sqref="F24:G25">
    <cfRule type="cellIs" dxfId="523" priority="72" operator="between">
      <formula>0.1</formula>
      <formula>0.999</formula>
    </cfRule>
    <cfRule type="containsBlanks" dxfId="522" priority="74" stopIfTrue="1">
      <formula>LEN(TRIM(F24))=0</formula>
    </cfRule>
    <cfRule type="cellIs" dxfId="521" priority="73" operator="lessThanOrEqual">
      <formula>0.1</formula>
    </cfRule>
  </conditionalFormatting>
  <conditionalFormatting sqref="F30:G31">
    <cfRule type="cellIs" dxfId="520" priority="13" operator="greaterThan">
      <formula>$C$30</formula>
    </cfRule>
    <cfRule type="cellIs" dxfId="519" priority="17" operator="between">
      <formula>0.1</formula>
      <formula>0.999</formula>
    </cfRule>
    <cfRule type="cellIs" dxfId="518" priority="18" operator="lessThanOrEqual">
      <formula>0.1</formula>
    </cfRule>
    <cfRule type="containsBlanks" dxfId="517" priority="19" stopIfTrue="1">
      <formula>LEN(TRIM(F30))=0</formula>
    </cfRule>
    <cfRule type="cellIs" dxfId="516" priority="14" operator="greaterThanOrEqual">
      <formula>10000</formula>
    </cfRule>
    <cfRule type="cellIs" dxfId="515" priority="15" operator="greaterThanOrEqual">
      <formula>10</formula>
    </cfRule>
    <cfRule type="cellIs" dxfId="514" priority="16" operator="between">
      <formula>1</formula>
      <formula>9.999</formula>
    </cfRule>
  </conditionalFormatting>
  <conditionalFormatting sqref="K10:N11">
    <cfRule type="cellIs" dxfId="513" priority="3" operator="between">
      <formula>1</formula>
      <formula>9.999</formula>
    </cfRule>
    <cfRule type="cellIs" dxfId="512" priority="4" operator="between">
      <formula>0.1</formula>
      <formula>0.999</formula>
    </cfRule>
    <cfRule type="cellIs" dxfId="511" priority="5" operator="lessThanOrEqual">
      <formula>0.1</formula>
    </cfRule>
    <cfRule type="containsBlanks" dxfId="510" priority="6" stopIfTrue="1">
      <formula>LEN(TRIM(K10))=0</formula>
    </cfRule>
    <cfRule type="cellIs" dxfId="509" priority="8" operator="lessThan">
      <formula>0.1</formula>
    </cfRule>
    <cfRule type="cellIs" dxfId="508" priority="9" operator="between">
      <formula>0.1</formula>
      <formula>0.999</formula>
    </cfRule>
    <cfRule type="cellIs" dxfId="507" priority="10" operator="between">
      <formula>1</formula>
      <formula>10</formula>
    </cfRule>
    <cfRule type="cellIs" dxfId="506" priority="11" operator="greaterThan">
      <formula>10</formula>
    </cfRule>
    <cfRule type="cellIs" dxfId="505" priority="12" operator="greaterThan">
      <formula>10000</formula>
    </cfRule>
    <cfRule type="cellIs" dxfId="504" priority="7" operator="equal">
      <formula>0</formula>
    </cfRule>
    <cfRule type="cellIs" dxfId="503" priority="1" operator="greaterThanOrEqual">
      <formula>10000</formula>
    </cfRule>
    <cfRule type="cellIs" dxfId="502" priority="2" operator="greaterThanOrEqual">
      <formula>10</formula>
    </cfRule>
  </conditionalFormatting>
  <conditionalFormatting sqref="M18:M19 M24:M25">
    <cfRule type="cellIs" dxfId="501" priority="44" operator="between">
      <formula>0.1</formula>
      <formula>0.999</formula>
    </cfRule>
    <cfRule type="cellIs" dxfId="500" priority="45" operator="lessThanOrEqual">
      <formula>0.1</formula>
    </cfRule>
    <cfRule type="containsBlanks" dxfId="499" priority="46" stopIfTrue="1">
      <formula>LEN(TRIM(M18))=0</formula>
    </cfRule>
    <cfRule type="cellIs" dxfId="498" priority="47" operator="lessThan">
      <formula>$L18</formula>
    </cfRule>
    <cfRule type="cellIs" dxfId="497" priority="41" operator="greaterThanOrEqual">
      <formula>10000</formula>
    </cfRule>
    <cfRule type="cellIs" dxfId="496" priority="42" operator="greaterThanOrEqual">
      <formula>10</formula>
    </cfRule>
    <cfRule type="cellIs" dxfId="495" priority="43" operator="between">
      <formula>1</formula>
      <formula>9.999</formula>
    </cfRule>
  </conditionalFormatting>
  <conditionalFormatting sqref="M24:M25">
    <cfRule type="cellIs" dxfId="494" priority="49" operator="greaterThanOrEqual">
      <formula>10</formula>
    </cfRule>
    <cfRule type="cellIs" dxfId="493" priority="50" operator="between">
      <formula>1</formula>
      <formula>9.999</formula>
    </cfRule>
    <cfRule type="cellIs" dxfId="492" priority="51" operator="between">
      <formula>0.1</formula>
      <formula>0.999</formula>
    </cfRule>
    <cfRule type="cellIs" dxfId="491" priority="52" operator="lessThanOrEqual">
      <formula>0.1</formula>
    </cfRule>
    <cfRule type="containsBlanks" dxfId="490" priority="53" stopIfTrue="1">
      <formula>LEN(TRIM(M24))=0</formula>
    </cfRule>
    <cfRule type="cellIs" dxfId="489" priority="54" operator="lessThan">
      <formula>$E24</formula>
    </cfRule>
    <cfRule type="cellIs" dxfId="488" priority="48" operator="greaterThanOrEqual">
      <formula>10000</formula>
    </cfRule>
    <cfRule type="cellIs" dxfId="487" priority="66" operator="lessThanOrEqual">
      <formula>0.1</formula>
    </cfRule>
    <cfRule type="containsBlanks" dxfId="486" priority="67" stopIfTrue="1">
      <formula>LEN(TRIM(M24))=0</formula>
    </cfRule>
    <cfRule type="cellIs" dxfId="485" priority="68" operator="lessThan">
      <formula>$E24</formula>
    </cfRule>
    <cfRule type="cellIs" dxfId="484" priority="65" operator="between">
      <formula>0.1</formula>
      <formula>0.999</formula>
    </cfRule>
  </conditionalFormatting>
  <conditionalFormatting sqref="M30:M31">
    <cfRule type="cellIs" dxfId="483" priority="22" operator="greaterThanOrEqual">
      <formula>10</formula>
    </cfRule>
    <cfRule type="containsBlanks" dxfId="482" priority="26" stopIfTrue="1">
      <formula>LEN(TRIM(M30))=0</formula>
    </cfRule>
    <cfRule type="cellIs" dxfId="481" priority="25" operator="lessThanOrEqual">
      <formula>0.1</formula>
    </cfRule>
    <cfRule type="cellIs" dxfId="480" priority="24" operator="between">
      <formula>0.1</formula>
      <formula>0.999</formula>
    </cfRule>
    <cfRule type="cellIs" dxfId="479" priority="23" operator="between">
      <formula>1</formula>
      <formula>9.999</formula>
    </cfRule>
    <cfRule type="cellIs" dxfId="478" priority="21" operator="greaterThanOrEqual">
      <formula>10000</formula>
    </cfRule>
    <cfRule type="cellIs" dxfId="477" priority="20" operator="greaterThan">
      <formula>L30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62E48-2843-49AF-9715-FD23841954E9}">
  <sheetPr codeName="Sheet21"/>
  <dimension ref="B1:T63"/>
  <sheetViews>
    <sheetView topLeftCell="D1" workbookViewId="0">
      <selection activeCell="R9" sqref="R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11" width="15.85546875" style="66" customWidth="1"/>
    <col min="12" max="12" width="12.85546875" style="66" customWidth="1"/>
    <col min="13" max="13" width="22.42578125" style="66" customWidth="1"/>
    <col min="14" max="14" width="20.28515625" style="66" customWidth="1"/>
    <col min="15" max="18" width="14.85546875" style="66" customWidth="1"/>
    <col min="19" max="20" width="13.5703125" style="66" customWidth="1"/>
    <col min="21" max="16384" width="8.7109375" style="66"/>
  </cols>
  <sheetData>
    <row r="1" spans="2:20" ht="21" x14ac:dyDescent="0.35">
      <c r="C1" s="83"/>
    </row>
    <row r="2" spans="2:20" ht="21" x14ac:dyDescent="0.35">
      <c r="C2" s="83" t="s">
        <v>461</v>
      </c>
      <c r="M2" s="68"/>
      <c r="T2" s="67"/>
    </row>
    <row r="3" spans="2:20" ht="15.75" x14ac:dyDescent="0.25">
      <c r="C3" s="67"/>
      <c r="L3" s="68"/>
      <c r="S3" s="67"/>
    </row>
    <row r="4" spans="2:20" ht="21" x14ac:dyDescent="0.35">
      <c r="C4" s="84" t="s">
        <v>83</v>
      </c>
      <c r="D4" s="85"/>
      <c r="E4" s="85"/>
      <c r="F4" s="85"/>
      <c r="G4" s="85"/>
      <c r="H4" s="85"/>
      <c r="I4" s="85"/>
      <c r="J4" s="85"/>
      <c r="K4" s="85"/>
      <c r="M4" s="84" t="s">
        <v>29</v>
      </c>
      <c r="S4" s="67"/>
    </row>
    <row r="5" spans="2:20" ht="21" x14ac:dyDescent="0.35">
      <c r="C5" s="85"/>
      <c r="D5" s="85"/>
      <c r="E5" s="85"/>
      <c r="F5" s="85"/>
      <c r="G5" s="85"/>
      <c r="H5" s="85"/>
      <c r="I5" s="85"/>
      <c r="J5" s="85"/>
      <c r="K5" s="85"/>
      <c r="M5" s="83"/>
      <c r="S5" s="67"/>
    </row>
    <row r="6" spans="2:20" ht="21" x14ac:dyDescent="0.35">
      <c r="C6" s="83" t="s">
        <v>84</v>
      </c>
      <c r="D6" s="85"/>
      <c r="E6" s="85"/>
      <c r="F6" s="85"/>
      <c r="G6" s="85"/>
      <c r="H6" s="85"/>
      <c r="I6" s="85"/>
      <c r="J6" s="85"/>
      <c r="K6" s="85"/>
      <c r="M6" s="83" t="s">
        <v>84</v>
      </c>
      <c r="S6" s="67"/>
    </row>
    <row r="7" spans="2:20" ht="15.75" x14ac:dyDescent="0.25">
      <c r="C7" s="67"/>
      <c r="L7" s="68"/>
      <c r="S7" s="67"/>
    </row>
    <row r="8" spans="2:20" ht="38.25" x14ac:dyDescent="0.25">
      <c r="C8" s="592" t="s">
        <v>85</v>
      </c>
      <c r="D8" s="593" t="s">
        <v>23</v>
      </c>
      <c r="E8" s="411" t="s">
        <v>86</v>
      </c>
      <c r="F8" s="411" t="s">
        <v>87</v>
      </c>
      <c r="G8" s="411" t="s">
        <v>89</v>
      </c>
      <c r="H8" s="411" t="s">
        <v>90</v>
      </c>
      <c r="I8" s="291"/>
      <c r="J8" s="291"/>
      <c r="K8" s="291"/>
      <c r="L8" s="1"/>
      <c r="M8" s="592" t="s">
        <v>85</v>
      </c>
      <c r="N8" s="592" t="s">
        <v>23</v>
      </c>
      <c r="O8" s="411" t="s">
        <v>91</v>
      </c>
      <c r="P8" s="411" t="s">
        <v>92</v>
      </c>
      <c r="Q8" s="411" t="s">
        <v>94</v>
      </c>
      <c r="R8" s="411" t="s">
        <v>95</v>
      </c>
      <c r="T8" s="67"/>
    </row>
    <row r="9" spans="2:20" ht="27" x14ac:dyDescent="0.25">
      <c r="C9" s="592"/>
      <c r="D9" s="593"/>
      <c r="E9" s="411" t="s">
        <v>180</v>
      </c>
      <c r="F9" s="411" t="s">
        <v>181</v>
      </c>
      <c r="G9" s="411" t="s">
        <v>182</v>
      </c>
      <c r="H9" s="411" t="s">
        <v>183</v>
      </c>
      <c r="I9" s="291"/>
      <c r="J9" s="291"/>
      <c r="K9" s="291"/>
      <c r="L9" s="1"/>
      <c r="M9" s="592"/>
      <c r="N9" s="592"/>
      <c r="O9" s="411" t="s">
        <v>100</v>
      </c>
      <c r="P9" s="411" t="s">
        <v>184</v>
      </c>
      <c r="Q9" s="411" t="s">
        <v>185</v>
      </c>
      <c r="R9" s="411" t="s">
        <v>509</v>
      </c>
      <c r="T9" s="67"/>
    </row>
    <row r="10" spans="2:20" ht="15.75" x14ac:dyDescent="0.25">
      <c r="C10" s="88" t="s">
        <v>30</v>
      </c>
      <c r="D10" s="594" t="s">
        <v>103</v>
      </c>
      <c r="E10" s="316">
        <f>INDEX('Inhalation Exposures'!$I$37:$I$44, MATCH(MC_max!$C$2, 'Inhalation Exposures'!$A$37:$A$44, 0))</f>
        <v>0.11771014919872487</v>
      </c>
      <c r="F10" s="316">
        <f>INDEX('Inhalation Exposures'!$K$37:$K$44, MATCH(MC_max!$C$2, 'Inhalation Exposures'!$A$37:$A$44, 0))</f>
        <v>8.0074931427703985E-2</v>
      </c>
      <c r="G10" s="316">
        <f>INDEX('Inhalation Exposures'!$O$37:$O$44, MATCH(MC_max!$C$2, 'Inhalation Exposures'!$A$37:$A$44, 0))</f>
        <v>5.4845843443632872E-2</v>
      </c>
      <c r="H10" s="316">
        <f>INDEX('Inhalation Exposures'!$Q$37:$Q$44, MATCH(MC_max!$C$2, 'Inhalation Exposures'!$A$37:$A$44, 0))</f>
        <v>2.8126073560837371E-2</v>
      </c>
      <c r="I10" s="329"/>
      <c r="J10" s="329"/>
      <c r="K10" s="329"/>
      <c r="L10" s="1"/>
      <c r="M10" s="595" t="s">
        <v>104</v>
      </c>
      <c r="N10" s="412" t="s">
        <v>103</v>
      </c>
      <c r="O10" s="316" t="str">
        <f>IFERROR(INDEX('Dermal Exposures'!$J$19:$J$27, MATCH(MC_max!$C$2, 'Dermal Exposures'!$A$19:$A$27, 0)), "")</f>
        <v/>
      </c>
      <c r="P10" s="316" t="str">
        <f>IFERROR(INDEX('Dermal Exposures'!$K$19:$K$27, MATCH(MC_max!$C$2, 'Dermal Exposures'!$A$19:$A$27, 0)), "")</f>
        <v/>
      </c>
      <c r="Q10" s="316" t="str">
        <f>IFERROR(INDEX('Dermal Exposures'!$M$19:$M$27, MATCH(MC_max!$C$2, 'Dermal Exposures'!$A$19:$A$27, 0)), "")</f>
        <v/>
      </c>
      <c r="R10" s="316" t="str">
        <f>IFERROR(INDEX('Dermal Exposures'!$N$19:$N$27, MATCH(MC_max!$C$2, 'Dermal Exposures'!$A$19:$A$27, 0)), "")</f>
        <v/>
      </c>
      <c r="T10" s="67"/>
    </row>
    <row r="11" spans="2:20" ht="15.75" x14ac:dyDescent="0.25">
      <c r="C11" s="88" t="s">
        <v>28</v>
      </c>
      <c r="D11" s="594"/>
      <c r="E11" s="316">
        <f>INDEX('Inhalation Exposures'!$I$50:$I$58, MATCH(MC_max!$C$2, 'Inhalation Exposures'!$A$50:$A$58, 0))</f>
        <v>2.5799484755884908E-2</v>
      </c>
      <c r="F11" s="316">
        <f>INDEX('Inhalation Exposures'!$K$50:$K$58, MATCH(MC_max!$C$2, 'Inhalation Exposures'!$A$50:$A$58, 0))</f>
        <v>1.7550669901962523E-2</v>
      </c>
      <c r="G11" s="316">
        <f>INDEX('Inhalation Exposures'!$O$50:$O$58, MATCH(MC_max!$C$2, 'Inhalation Exposures'!$A$50:$A$58, 0))</f>
        <v>1.2021006782166112E-2</v>
      </c>
      <c r="H11" s="316">
        <f>INDEX('Inhalation Exposures'!$Q$50:$Q$58, MATCH(MC_max!$C$2, 'Inhalation Exposures'!$A$50:$A$58, 0))</f>
        <v>6.1646188626492873E-3</v>
      </c>
      <c r="I11" s="329"/>
      <c r="J11" s="329"/>
      <c r="K11" s="329"/>
      <c r="L11" s="1"/>
      <c r="M11" s="595"/>
      <c r="N11" s="412" t="s">
        <v>27</v>
      </c>
      <c r="O11" s="316" t="str">
        <f>IFERROR(INDEX('Dermal Exposures'!$O$19:$O$27, MATCH(MC_max!$C$2, 'Dermal Exposures'!$A$19:$A$27, 0)), "")</f>
        <v/>
      </c>
      <c r="P11" s="316" t="str">
        <f>IFERROR(INDEX('Dermal Exposures'!$P$19:$P$27, MATCH(MC_max!$C$2, 'Dermal Exposures'!$A$19:$A$27, 0)), "")</f>
        <v/>
      </c>
      <c r="Q11" s="316" t="str">
        <f>IFERROR(INDEX('Dermal Exposures'!$R$19:$R$27, MATCH(MC_max!$C$2, 'Dermal Exposures'!$A$19:$A$27, 0)), "")</f>
        <v/>
      </c>
      <c r="R11" s="316" t="str">
        <f>IFERROR(INDEX('Dermal Exposures'!$S$19:$S$27, MATCH(MC_max!$C$2, 'Dermal Exposures'!$A$19:$A$27, 0)), "")</f>
        <v/>
      </c>
      <c r="T11" s="67"/>
    </row>
    <row r="12" spans="2:20" ht="15.75" x14ac:dyDescent="0.25">
      <c r="C12" s="88" t="s">
        <v>30</v>
      </c>
      <c r="D12" s="591" t="s">
        <v>27</v>
      </c>
      <c r="E12" s="316">
        <f>INDEX('Inhalation Exposures'!$J$37:$J$44, MATCH(MC_max!$C$2, 'Inhalation Exposures'!$A$37:$A$44, 0))</f>
        <v>7.7398454267654715E-3</v>
      </c>
      <c r="F12" s="316">
        <f>INDEX('Inhalation Exposures'!$L$37:$L$44, MATCH(MC_max!$C$2, 'Inhalation Exposures'!$A$37:$A$44, 0))</f>
        <v>5.2652009705887563E-3</v>
      </c>
      <c r="G12" s="316">
        <f>INDEX('Inhalation Exposures'!$P$37:$P$44, MATCH(MC_max!$C$2, 'Inhalation Exposures'!$A$37:$A$44, 0))</f>
        <v>3.6063020346498334E-3</v>
      </c>
      <c r="H12" s="316">
        <f>INDEX('Inhalation Exposures'!$R$37:$R$44, MATCH(MC_max!$C$2, 'Inhalation Exposures'!$A$37:$A$44, 0))</f>
        <v>1.4332738855659594E-3</v>
      </c>
      <c r="I12" s="329"/>
      <c r="J12" s="329"/>
      <c r="K12" s="329"/>
      <c r="L12" s="1"/>
      <c r="S12" s="67"/>
    </row>
    <row r="13" spans="2:20" ht="15.75" x14ac:dyDescent="0.25">
      <c r="C13" s="88" t="s">
        <v>28</v>
      </c>
      <c r="D13" s="591"/>
      <c r="E13" s="316">
        <f>INDEX('Inhalation Exposures'!$J$50:$J$58, MATCH(MC_max!$C$2, 'Inhalation Exposures'!$A$50:$A$58, 0))</f>
        <v>2.2574549161399294E-4</v>
      </c>
      <c r="F13" s="316">
        <f>INDEX('Inhalation Exposures'!$L$50:$L$58, MATCH(MC_max!$C$2, 'Inhalation Exposures'!$A$50:$A$58, 0))</f>
        <v>1.5356836164217208E-4</v>
      </c>
      <c r="G13" s="316">
        <f>INDEX('Inhalation Exposures'!$P$50:$P$58, MATCH(MC_max!$C$2, 'Inhalation Exposures'!$A$50:$A$58, 0))</f>
        <v>1.0518380934395347E-4</v>
      </c>
      <c r="H13" s="316">
        <f>INDEX('Inhalation Exposures'!$R$50:$R$58, MATCH(MC_max!$C$2, 'Inhalation Exposures'!$A$50:$A$58, 0))</f>
        <v>4.1803821662340481E-5</v>
      </c>
      <c r="I13" s="329"/>
      <c r="J13" s="329"/>
      <c r="K13" s="329"/>
      <c r="L13" s="1"/>
      <c r="S13" s="67"/>
    </row>
    <row r="15" spans="2:20" ht="21" x14ac:dyDescent="0.35">
      <c r="C15" s="83" t="s">
        <v>105</v>
      </c>
      <c r="M15" s="83" t="s">
        <v>113</v>
      </c>
    </row>
    <row r="16" spans="2:20" ht="28.5" customHeight="1" x14ac:dyDescent="0.2">
      <c r="B16" s="70"/>
      <c r="C16" s="568" t="s">
        <v>106</v>
      </c>
      <c r="D16" s="568" t="s">
        <v>107</v>
      </c>
      <c r="E16" s="568" t="s">
        <v>23</v>
      </c>
      <c r="F16" s="568" t="s">
        <v>108</v>
      </c>
      <c r="G16" s="568" t="s">
        <v>109</v>
      </c>
      <c r="H16" s="568"/>
      <c r="I16" s="90"/>
      <c r="J16" s="90"/>
      <c r="K16" s="90"/>
      <c r="L16" s="90"/>
      <c r="M16" s="570" t="s">
        <v>106</v>
      </c>
      <c r="N16" s="570" t="s">
        <v>114</v>
      </c>
      <c r="O16" s="570" t="s">
        <v>23</v>
      </c>
      <c r="P16" s="570" t="s">
        <v>108</v>
      </c>
      <c r="Q16" s="411" t="s">
        <v>109</v>
      </c>
    </row>
    <row r="17" spans="2:17" ht="26.1" customHeight="1" x14ac:dyDescent="0.2">
      <c r="B17" s="70"/>
      <c r="C17" s="568"/>
      <c r="D17" s="568"/>
      <c r="E17" s="568"/>
      <c r="F17" s="568"/>
      <c r="G17" s="413" t="s">
        <v>110</v>
      </c>
      <c r="H17" s="413" t="s">
        <v>111</v>
      </c>
      <c r="I17" s="90"/>
      <c r="J17" s="90"/>
      <c r="K17" s="90"/>
      <c r="L17" s="90"/>
      <c r="M17" s="571"/>
      <c r="N17" s="571"/>
      <c r="O17" s="571"/>
      <c r="P17" s="571"/>
      <c r="Q17" s="422" t="s">
        <v>116</v>
      </c>
    </row>
    <row r="18" spans="2:17" ht="27.6" customHeight="1" x14ac:dyDescent="0.2">
      <c r="B18" s="70"/>
      <c r="C18" s="577" t="s">
        <v>190</v>
      </c>
      <c r="D18" s="580">
        <f>INDEX('Health Data'!$G:$G,MATCH($C$2,'Health Data'!$B:$B,0))</f>
        <v>50.091840339102788</v>
      </c>
      <c r="E18" s="71" t="s">
        <v>103</v>
      </c>
      <c r="F18" s="100">
        <v>30</v>
      </c>
      <c r="G18" s="101">
        <f>D18/$F$10</f>
        <v>625.56207599538732</v>
      </c>
      <c r="H18" s="102">
        <f>D18/$F$11</f>
        <v>2854.1269717289538</v>
      </c>
      <c r="I18" s="330"/>
      <c r="J18" s="330"/>
      <c r="K18" s="330"/>
      <c r="L18" s="77"/>
      <c r="M18" s="606" t="s">
        <v>186</v>
      </c>
      <c r="N18" s="589">
        <f>INDEX('Health Data'!$K:$K,MATCH($C$2,'Health Data'!$B:$B,0))</f>
        <v>32</v>
      </c>
      <c r="O18" s="72" t="s">
        <v>103</v>
      </c>
      <c r="P18" s="100">
        <v>30</v>
      </c>
      <c r="Q18" s="101" t="str">
        <f>IFERROR(N18/P10, "")</f>
        <v/>
      </c>
    </row>
    <row r="19" spans="2:17" ht="25.5" customHeight="1" x14ac:dyDescent="0.2">
      <c r="B19" s="70"/>
      <c r="C19" s="604"/>
      <c r="D19" s="555"/>
      <c r="E19" s="71" t="s">
        <v>27</v>
      </c>
      <c r="F19" s="100">
        <v>30</v>
      </c>
      <c r="G19" s="101">
        <f>D18/$F$12</f>
        <v>9513.7565724298474</v>
      </c>
      <c r="H19" s="102">
        <f>D18/$F$13</f>
        <v>326185.93962616613</v>
      </c>
      <c r="I19" s="330"/>
      <c r="J19" s="330"/>
      <c r="K19" s="330"/>
      <c r="L19" s="77"/>
      <c r="M19" s="577"/>
      <c r="N19" s="590"/>
      <c r="O19" s="72" t="s">
        <v>27</v>
      </c>
      <c r="P19" s="100">
        <v>30</v>
      </c>
      <c r="Q19" s="101" t="str">
        <f>IFERROR(N18/P11, "")</f>
        <v/>
      </c>
    </row>
    <row r="20" spans="2:17" x14ac:dyDescent="0.2">
      <c r="B20" s="73"/>
      <c r="C20" s="87"/>
      <c r="D20" s="96"/>
      <c r="E20" s="76"/>
      <c r="F20" s="75"/>
      <c r="G20" s="77"/>
      <c r="H20" s="77"/>
      <c r="I20" s="77"/>
      <c r="J20" s="77"/>
      <c r="K20" s="77"/>
      <c r="L20" s="77"/>
      <c r="M20" s="74"/>
      <c r="N20" s="75"/>
      <c r="O20" s="81"/>
      <c r="Q20" s="77"/>
    </row>
    <row r="21" spans="2:17" s="85" customFormat="1" ht="21" x14ac:dyDescent="0.35">
      <c r="B21" s="83"/>
      <c r="C21" s="83" t="s">
        <v>122</v>
      </c>
      <c r="F21" s="86"/>
      <c r="M21" s="83" t="s">
        <v>125</v>
      </c>
    </row>
    <row r="22" spans="2:17" ht="26.1" customHeight="1" x14ac:dyDescent="0.2">
      <c r="B22" s="79"/>
      <c r="C22" s="568" t="s">
        <v>106</v>
      </c>
      <c r="D22" s="568" t="s">
        <v>107</v>
      </c>
      <c r="E22" s="568" t="s">
        <v>23</v>
      </c>
      <c r="F22" s="568" t="s">
        <v>108</v>
      </c>
      <c r="G22" s="568" t="s">
        <v>123</v>
      </c>
      <c r="H22" s="568"/>
      <c r="I22" s="90"/>
      <c r="J22" s="90"/>
      <c r="K22" s="90"/>
      <c r="L22" s="90"/>
      <c r="M22" s="566" t="s">
        <v>106</v>
      </c>
      <c r="N22" s="566" t="s">
        <v>121</v>
      </c>
      <c r="O22" s="566" t="s">
        <v>23</v>
      </c>
      <c r="P22" s="566" t="s">
        <v>108</v>
      </c>
      <c r="Q22" s="411" t="s">
        <v>123</v>
      </c>
    </row>
    <row r="23" spans="2:17" ht="25.5" x14ac:dyDescent="0.2">
      <c r="B23" s="79"/>
      <c r="C23" s="582"/>
      <c r="D23" s="568"/>
      <c r="E23" s="568"/>
      <c r="F23" s="568"/>
      <c r="G23" s="413" t="s">
        <v>110</v>
      </c>
      <c r="H23" s="413" t="s">
        <v>111</v>
      </c>
      <c r="I23" s="90"/>
      <c r="J23" s="90"/>
      <c r="K23" s="90"/>
      <c r="L23" s="90"/>
      <c r="M23" s="581"/>
      <c r="N23" s="567"/>
      <c r="O23" s="567"/>
      <c r="P23" s="567"/>
      <c r="Q23" s="411" t="s">
        <v>116</v>
      </c>
    </row>
    <row r="24" spans="2:17" ht="33" customHeight="1" x14ac:dyDescent="0.2">
      <c r="B24" s="79"/>
      <c r="C24" s="577" t="s">
        <v>187</v>
      </c>
      <c r="D24" s="578">
        <f>INDEX('Health Data'!$P:$P,MATCH($C$2,'Health Data'!$B:$B,0))</f>
        <v>4.9516072059342982</v>
      </c>
      <c r="E24" s="72" t="s">
        <v>103</v>
      </c>
      <c r="F24" s="412">
        <v>10</v>
      </c>
      <c r="G24" s="419">
        <f>D24/$G$10</f>
        <v>90.282269266644619</v>
      </c>
      <c r="H24" s="419">
        <f>D24/$G$11</f>
        <v>411.91285352906596</v>
      </c>
      <c r="I24" s="96"/>
      <c r="J24" s="96"/>
      <c r="K24" s="96"/>
      <c r="L24" s="77"/>
      <c r="M24" s="606" t="s">
        <v>187</v>
      </c>
      <c r="N24" s="580">
        <f>INDEX('Health Data'!$T:$T,MATCH($C$2,'Health Data'!$B:$B,0))</f>
        <v>3</v>
      </c>
      <c r="O24" s="72" t="s">
        <v>103</v>
      </c>
      <c r="P24" s="412">
        <v>10</v>
      </c>
      <c r="Q24" s="107" t="str">
        <f>IFERROR(N24/$Q$10, "")</f>
        <v/>
      </c>
    </row>
    <row r="25" spans="2:17" ht="33" customHeight="1" x14ac:dyDescent="0.2">
      <c r="B25" s="79"/>
      <c r="C25" s="577"/>
      <c r="D25" s="559"/>
      <c r="E25" s="72" t="s">
        <v>27</v>
      </c>
      <c r="F25" s="412">
        <v>10</v>
      </c>
      <c r="G25" s="419">
        <f>D24/$G$12</f>
        <v>1373.0428450968866</v>
      </c>
      <c r="H25" s="419">
        <f>D24/$G$13</f>
        <v>47075.754689036112</v>
      </c>
      <c r="I25" s="96"/>
      <c r="J25" s="96"/>
      <c r="K25" s="96"/>
      <c r="L25" s="77"/>
      <c r="M25" s="577"/>
      <c r="N25" s="555"/>
      <c r="O25" s="72" t="s">
        <v>27</v>
      </c>
      <c r="P25" s="412">
        <v>10</v>
      </c>
      <c r="Q25" s="107" t="str">
        <f>IFERROR(N24/$Q$11, "")</f>
        <v/>
      </c>
    </row>
    <row r="26" spans="2:17" x14ac:dyDescent="0.2">
      <c r="B26" s="79"/>
      <c r="C26" s="80"/>
      <c r="D26" s="75"/>
      <c r="E26" s="81"/>
      <c r="F26" s="75"/>
      <c r="G26" s="77"/>
      <c r="H26" s="77"/>
      <c r="I26" s="77"/>
      <c r="J26" s="77"/>
      <c r="K26" s="77"/>
      <c r="L26" s="77"/>
    </row>
    <row r="27" spans="2:17" ht="33" customHeight="1" x14ac:dyDescent="0.35">
      <c r="B27" s="79"/>
      <c r="C27" s="83" t="s">
        <v>126</v>
      </c>
      <c r="D27" s="85"/>
      <c r="E27" s="85"/>
      <c r="F27" s="85"/>
      <c r="G27" s="85"/>
      <c r="H27" s="85"/>
      <c r="I27" s="85"/>
      <c r="J27" s="85"/>
      <c r="K27" s="85"/>
      <c r="L27" s="77"/>
      <c r="M27" s="83" t="s">
        <v>126</v>
      </c>
      <c r="N27" s="85"/>
      <c r="O27" s="85"/>
      <c r="P27" s="85"/>
      <c r="Q27" s="85"/>
    </row>
    <row r="28" spans="2:17" ht="33" customHeight="1" x14ac:dyDescent="0.2">
      <c r="B28" s="79"/>
      <c r="C28" s="582" t="s">
        <v>127</v>
      </c>
      <c r="D28" s="566" t="s">
        <v>128</v>
      </c>
      <c r="E28" s="566" t="s">
        <v>23</v>
      </c>
      <c r="F28" s="583" t="s">
        <v>129</v>
      </c>
      <c r="G28" s="568" t="s">
        <v>130</v>
      </c>
      <c r="H28" s="568"/>
      <c r="I28" s="90"/>
      <c r="J28" s="90"/>
      <c r="K28" s="90"/>
      <c r="L28" s="77"/>
      <c r="M28" s="566" t="s">
        <v>127</v>
      </c>
      <c r="N28" s="566" t="s">
        <v>133</v>
      </c>
      <c r="O28" s="566" t="s">
        <v>23</v>
      </c>
      <c r="P28" s="566" t="s">
        <v>129</v>
      </c>
      <c r="Q28" s="411" t="s">
        <v>130</v>
      </c>
    </row>
    <row r="29" spans="2:17" ht="33" customHeight="1" x14ac:dyDescent="0.2">
      <c r="B29" s="79"/>
      <c r="C29" s="608"/>
      <c r="D29" s="567"/>
      <c r="E29" s="567"/>
      <c r="F29" s="584"/>
      <c r="G29" s="413" t="s">
        <v>131</v>
      </c>
      <c r="H29" s="413" t="s">
        <v>28</v>
      </c>
      <c r="I29" s="90"/>
      <c r="J29" s="90"/>
      <c r="K29" s="90"/>
      <c r="L29" s="77"/>
      <c r="M29" s="581"/>
      <c r="N29" s="567"/>
      <c r="O29" s="567"/>
      <c r="P29" s="567"/>
      <c r="Q29" s="411" t="s">
        <v>135</v>
      </c>
    </row>
    <row r="30" spans="2:17" ht="33" customHeight="1" x14ac:dyDescent="0.2">
      <c r="B30" s="79"/>
      <c r="C30" s="607" t="s">
        <v>188</v>
      </c>
      <c r="D30" s="574">
        <f>INDEX('Health Data'!$Y:$Y,MATCH($C$2,'Health Data'!$B:$B,0))</f>
        <v>2.0146993865030676E-5</v>
      </c>
      <c r="E30" s="71" t="s">
        <v>103</v>
      </c>
      <c r="F30" s="107">
        <v>1E-4</v>
      </c>
      <c r="G30" s="103">
        <f>H10*D30</f>
        <v>5.6665583147759199E-7</v>
      </c>
      <c r="H30" s="403">
        <f>H11*D30</f>
        <v>1.2419853840604756E-7</v>
      </c>
      <c r="I30" s="80"/>
      <c r="J30" s="80"/>
      <c r="K30" s="80"/>
      <c r="L30" s="77"/>
      <c r="M30" s="604" t="s">
        <v>191</v>
      </c>
      <c r="N30" s="574">
        <f>INDEX('Health Data'!$AB:$AB,MATCH($C$2,'Health Data'!$B:$B,0))</f>
        <v>3.1999999999999999E-5</v>
      </c>
      <c r="O30" s="71" t="s">
        <v>103</v>
      </c>
      <c r="P30" s="107">
        <v>1E-4</v>
      </c>
      <c r="Q30" s="107" t="str">
        <f>IFERROR(R10*N30, "")</f>
        <v/>
      </c>
    </row>
    <row r="31" spans="2:17" ht="33" customHeight="1" x14ac:dyDescent="0.2">
      <c r="B31" s="79"/>
      <c r="C31" s="607"/>
      <c r="D31" s="575"/>
      <c r="E31" s="71" t="s">
        <v>27</v>
      </c>
      <c r="F31" s="107">
        <v>1E-4</v>
      </c>
      <c r="G31" s="105">
        <f>H12*D30</f>
        <v>2.8876160179406063E-8</v>
      </c>
      <c r="H31" s="403">
        <f>H13*D30</f>
        <v>8.4222133856601012E-10</v>
      </c>
      <c r="I31" s="80"/>
      <c r="J31" s="80"/>
      <c r="K31" s="80"/>
      <c r="L31" s="77"/>
      <c r="M31" s="604"/>
      <c r="N31" s="575"/>
      <c r="O31" s="71" t="s">
        <v>27</v>
      </c>
      <c r="P31" s="107">
        <v>1E-4</v>
      </c>
      <c r="Q31" s="107" t="str">
        <f>IFERROR(R11*N30, "")</f>
        <v/>
      </c>
    </row>
    <row r="32" spans="2:17" ht="33" customHeight="1" x14ac:dyDescent="0.2">
      <c r="B32" s="79"/>
      <c r="I32" s="77"/>
      <c r="J32" s="77"/>
      <c r="K32" s="77"/>
      <c r="L32" s="77"/>
    </row>
    <row r="33" spans="2:13" ht="33" customHeight="1" x14ac:dyDescent="0.35">
      <c r="B33" s="79"/>
      <c r="C33" s="83" t="s">
        <v>134</v>
      </c>
      <c r="I33" s="77"/>
      <c r="J33" s="77"/>
      <c r="K33" s="77"/>
      <c r="L33" s="77"/>
    </row>
    <row r="34" spans="2:13" ht="33" customHeight="1" thickBot="1" x14ac:dyDescent="0.4">
      <c r="B34" s="79"/>
      <c r="C34" s="83"/>
      <c r="I34" s="77"/>
      <c r="J34" s="77"/>
      <c r="K34" s="77"/>
      <c r="L34" s="77"/>
    </row>
    <row r="35" spans="2:13" ht="33" customHeight="1" x14ac:dyDescent="0.25">
      <c r="B35" s="79"/>
      <c r="C35" s="325" t="s">
        <v>136</v>
      </c>
      <c r="I35" s="77"/>
      <c r="J35" s="77"/>
      <c r="K35" s="77"/>
      <c r="L35" s="77"/>
    </row>
    <row r="36" spans="2:13" ht="33" customHeight="1" thickBot="1" x14ac:dyDescent="0.3">
      <c r="B36" s="79"/>
      <c r="C36" s="326" t="s">
        <v>30</v>
      </c>
      <c r="I36" s="77"/>
      <c r="J36" s="77"/>
      <c r="K36" s="77"/>
      <c r="L36" s="77"/>
    </row>
    <row r="37" spans="2:13" ht="33" customHeight="1" x14ac:dyDescent="0.3">
      <c r="B37" s="79"/>
      <c r="C37" s="317"/>
      <c r="I37" s="77"/>
      <c r="J37" s="77"/>
      <c r="K37" s="77"/>
      <c r="L37" s="77"/>
    </row>
    <row r="38" spans="2:13" ht="33" customHeight="1" thickBot="1" x14ac:dyDescent="0.25">
      <c r="B38" s="79"/>
      <c r="I38" s="77"/>
      <c r="J38" s="77"/>
      <c r="K38" s="77"/>
      <c r="L38" s="77"/>
      <c r="M38" s="68" t="s">
        <v>157</v>
      </c>
    </row>
    <row r="39" spans="2:13" ht="33" customHeight="1" x14ac:dyDescent="0.2">
      <c r="B39" s="548" t="s">
        <v>138</v>
      </c>
      <c r="C39" s="540" t="s">
        <v>107</v>
      </c>
      <c r="D39" s="540" t="s">
        <v>23</v>
      </c>
      <c r="E39" s="540" t="s">
        <v>108</v>
      </c>
      <c r="F39" s="540" t="str">
        <f>_xlfn.CONCAT("Exposure Estimates: ",$C$42," MOE")</f>
        <v>Exposure Estimates:  MOE</v>
      </c>
      <c r="G39" s="540"/>
      <c r="H39" s="540"/>
      <c r="I39" s="540"/>
      <c r="J39" s="540"/>
      <c r="K39" s="542"/>
      <c r="L39" s="77"/>
    </row>
    <row r="40" spans="2:13" ht="33" customHeight="1" thickBot="1" x14ac:dyDescent="0.25">
      <c r="B40" s="549"/>
      <c r="C40" s="541"/>
      <c r="D40" s="541"/>
      <c r="E40" s="541"/>
      <c r="F40" s="416" t="s">
        <v>139</v>
      </c>
      <c r="G40" s="416" t="s">
        <v>34</v>
      </c>
      <c r="H40" s="416" t="s">
        <v>35</v>
      </c>
      <c r="I40" s="416" t="s">
        <v>32</v>
      </c>
      <c r="J40" s="416" t="s">
        <v>140</v>
      </c>
      <c r="K40" s="290" t="s">
        <v>31</v>
      </c>
      <c r="L40" s="77"/>
    </row>
    <row r="41" spans="2:13" ht="33" customHeight="1" x14ac:dyDescent="0.2">
      <c r="B41" s="550" t="s">
        <v>143</v>
      </c>
      <c r="C41" s="555">
        <f>INDEX('Health Data'!$G:$G,MATCH($C$2,'Health Data'!$B:$B,0))</f>
        <v>50.091840339102788</v>
      </c>
      <c r="D41" s="292" t="s">
        <v>103</v>
      </c>
      <c r="E41" s="421">
        <v>10</v>
      </c>
      <c r="F41" s="304">
        <f>IFERROR($C41/IF($C$36="Worker",$F$10,$F$11), "")</f>
        <v>625.56207599538732</v>
      </c>
      <c r="G41" s="305">
        <f>IFERROR($F41*'List Values'!$B$9, "")</f>
        <v>6255.6207599538729</v>
      </c>
      <c r="H41" s="305">
        <f>IFERROR($F41*'List Values'!$B$10, "")</f>
        <v>15639.051899884684</v>
      </c>
      <c r="I41" s="305">
        <f>IFERROR($F41*'List Values'!$B$11, "")</f>
        <v>31278.103799769367</v>
      </c>
      <c r="J41" s="305">
        <f>IFERROR($F41*'List Values'!$B$12, "")</f>
        <v>625562.07599538728</v>
      </c>
      <c r="K41" s="306">
        <f>IFERROR($F41*'List Values'!$B$13, "")</f>
        <v>6255620.7599538732</v>
      </c>
      <c r="L41" s="77"/>
    </row>
    <row r="42" spans="2:13" ht="33" customHeight="1" thickBot="1" x14ac:dyDescent="0.25">
      <c r="B42" s="551"/>
      <c r="C42" s="556"/>
      <c r="D42" s="293" t="s">
        <v>27</v>
      </c>
      <c r="E42" s="418">
        <v>10</v>
      </c>
      <c r="F42" s="303">
        <f>IFERROR($C41/IF($C$36="Worker",$F$12,$F$13), "")</f>
        <v>9513.7565724298474</v>
      </c>
      <c r="G42" s="303">
        <f>IFERROR($F42*'List Values'!$B$9, "")</f>
        <v>95137.565724298474</v>
      </c>
      <c r="H42" s="303">
        <f>IFERROR($F42*'List Values'!$B$10, "")</f>
        <v>237843.91431074619</v>
      </c>
      <c r="I42" s="303">
        <f>IFERROR($F42*'List Values'!$B$11, "")</f>
        <v>475687.82862149237</v>
      </c>
      <c r="J42" s="303">
        <f>IFERROR($F42*'List Values'!$B$12, "")</f>
        <v>9513756.572429847</v>
      </c>
      <c r="K42" s="307">
        <f>IFERROR($F42*'List Values'!$B$13, "")</f>
        <v>95137565.724298477</v>
      </c>
      <c r="L42" s="77"/>
    </row>
    <row r="43" spans="2:13" ht="33" customHeight="1" x14ac:dyDescent="0.2">
      <c r="B43" s="553" t="s">
        <v>145</v>
      </c>
      <c r="C43" s="555">
        <f>INDEX('Health Data'!$P:$P,MATCH($C$2,'Health Data'!$B:$B,0))</f>
        <v>4.9516072059342982</v>
      </c>
      <c r="D43" s="292" t="s">
        <v>103</v>
      </c>
      <c r="E43" s="421">
        <v>30</v>
      </c>
      <c r="F43" s="304">
        <f>IFERROR($C43/IF($C$36="Worker",$G$10,$G$11), "")</f>
        <v>90.282269266644619</v>
      </c>
      <c r="G43" s="305">
        <f>IFERROR($F43*'List Values'!$B$9, "")</f>
        <v>902.82269266644619</v>
      </c>
      <c r="H43" s="305">
        <f>IFERROR($F43*'List Values'!$B$10, "")</f>
        <v>2257.0567316661154</v>
      </c>
      <c r="I43" s="305">
        <f>IFERROR($F43*'List Values'!$B$11, "")</f>
        <v>4514.1134633322308</v>
      </c>
      <c r="J43" s="305">
        <f>IFERROR($F43*'List Values'!$B$12, "")</f>
        <v>90282.269266644624</v>
      </c>
      <c r="K43" s="306">
        <f>IFERROR($F43*'List Values'!$B$13, "")</f>
        <v>902822.69266644621</v>
      </c>
      <c r="L43" s="77"/>
    </row>
    <row r="44" spans="2:13" ht="33" customHeight="1" thickBot="1" x14ac:dyDescent="0.25">
      <c r="B44" s="554"/>
      <c r="C44" s="556"/>
      <c r="D44" s="293" t="s">
        <v>27</v>
      </c>
      <c r="E44" s="418">
        <v>30</v>
      </c>
      <c r="F44" s="303">
        <f>IFERROR($C43/IF($C$36="Worker",$G$12,$G$13), "")</f>
        <v>1373.0428450968866</v>
      </c>
      <c r="G44" s="303">
        <f>IFERROR($F44*'List Values'!$B$9, "")</f>
        <v>13730.428450968866</v>
      </c>
      <c r="H44" s="303">
        <f>IFERROR($F44*'List Values'!$B$10, "")</f>
        <v>34326.071127422169</v>
      </c>
      <c r="I44" s="303">
        <f>IFERROR($F44*'List Values'!$B$11, "")</f>
        <v>68652.142254844337</v>
      </c>
      <c r="J44" s="303">
        <f>IFERROR($F44*'List Values'!$B$12, "")</f>
        <v>1373042.8450968866</v>
      </c>
      <c r="K44" s="307">
        <f>IFERROR($F44*'List Values'!$B$13, "")</f>
        <v>13730428.450968865</v>
      </c>
      <c r="L44" s="77"/>
    </row>
    <row r="45" spans="2:13" ht="33" customHeight="1" x14ac:dyDescent="0.2">
      <c r="B45" s="294"/>
      <c r="C45" s="547" t="s">
        <v>146</v>
      </c>
      <c r="D45" s="530" t="s">
        <v>23</v>
      </c>
      <c r="E45" s="530" t="s">
        <v>108</v>
      </c>
      <c r="F45" s="530" t="str">
        <f>_xlfn.CONCAT("Exposure Estimates: ",$C$42," MOE")</f>
        <v>Exposure Estimates:  MOE</v>
      </c>
      <c r="G45" s="530"/>
      <c r="H45" s="530"/>
      <c r="I45" s="530"/>
      <c r="J45" s="530"/>
      <c r="K45" s="531"/>
      <c r="L45" s="77"/>
    </row>
    <row r="46" spans="2:13" ht="33" customHeight="1" thickBot="1" x14ac:dyDescent="0.25">
      <c r="B46" s="294"/>
      <c r="C46" s="533"/>
      <c r="D46" s="541"/>
      <c r="E46" s="541"/>
      <c r="F46" s="416" t="s">
        <v>139</v>
      </c>
      <c r="G46" s="416" t="s">
        <v>34</v>
      </c>
      <c r="H46" s="416" t="s">
        <v>35</v>
      </c>
      <c r="I46" s="416" t="s">
        <v>32</v>
      </c>
      <c r="J46" s="416" t="s">
        <v>140</v>
      </c>
      <c r="K46" s="290" t="s">
        <v>31</v>
      </c>
      <c r="L46" s="77"/>
    </row>
    <row r="47" spans="2:13" ht="33" customHeight="1" x14ac:dyDescent="0.2">
      <c r="B47" s="545" t="s">
        <v>148</v>
      </c>
      <c r="C47" s="599">
        <f>INDEX('Health Data'!$Y:$Y,MATCH($C$2,'Health Data'!$B:$B,0))</f>
        <v>2.0146993865030676E-5</v>
      </c>
      <c r="D47" s="299" t="s">
        <v>103</v>
      </c>
      <c r="E47" s="334">
        <v>1E-4</v>
      </c>
      <c r="F47" s="340">
        <f>IFERROR($C47*IF($C$36="Worker",$H$10,$H$11), "")</f>
        <v>5.6665583147759199E-7</v>
      </c>
      <c r="G47" s="341">
        <f>IFERROR($F47/'List Values'!$B$9, "")</f>
        <v>5.6665583147759202E-8</v>
      </c>
      <c r="H47" s="341">
        <f>IFERROR($F47/'List Values'!$B$10, "")</f>
        <v>2.266623325910368E-8</v>
      </c>
      <c r="I47" s="341">
        <f>IFERROR($F47/'List Values'!$B$11, "")</f>
        <v>1.133311662955184E-8</v>
      </c>
      <c r="J47" s="341">
        <f>IFERROR($F47/'List Values'!$B$12, "")</f>
        <v>5.6665583147759202E-10</v>
      </c>
      <c r="K47" s="342">
        <f>IFERROR($F47/'List Values'!$B$13, "")</f>
        <v>5.6665583147759201E-11</v>
      </c>
      <c r="L47" s="77"/>
    </row>
    <row r="48" spans="2:13" ht="33" customHeight="1" thickBot="1" x14ac:dyDescent="0.25">
      <c r="B48" s="546"/>
      <c r="C48" s="544"/>
      <c r="D48" s="293" t="s">
        <v>27</v>
      </c>
      <c r="E48" s="335">
        <v>1E-4</v>
      </c>
      <c r="F48" s="337">
        <f>IFERROR($C47*IF($C$36="Worker",$H$12,$H$13), "")</f>
        <v>2.8876160179406063E-8</v>
      </c>
      <c r="G48" s="338">
        <f>IFERROR($F48/'List Values'!$B$9, "")</f>
        <v>2.8876160179406061E-9</v>
      </c>
      <c r="H48" s="338">
        <f>IFERROR($F48/'List Values'!$B$10, "")</f>
        <v>1.1550464071762426E-9</v>
      </c>
      <c r="I48" s="338">
        <f>IFERROR($F48/'List Values'!$B$11, "")</f>
        <v>5.7752320358812129E-10</v>
      </c>
      <c r="J48" s="338">
        <f>IFERROR($F48/'List Values'!$B$12, "")</f>
        <v>2.8876160179406064E-11</v>
      </c>
      <c r="K48" s="339">
        <f>IFERROR($F48/'List Values'!$B$13, "")</f>
        <v>2.8876160179406063E-12</v>
      </c>
      <c r="L48" s="77"/>
    </row>
    <row r="49" spans="2:18" ht="33" customHeight="1" x14ac:dyDescent="0.2">
      <c r="B49" s="79"/>
      <c r="L49" s="77"/>
    </row>
    <row r="50" spans="2:18" ht="33" customHeight="1" x14ac:dyDescent="0.2">
      <c r="B50" s="79"/>
      <c r="L50" s="77"/>
    </row>
    <row r="51" spans="2:18" ht="33" customHeight="1" x14ac:dyDescent="0.2">
      <c r="B51" s="79"/>
      <c r="L51" s="77"/>
    </row>
    <row r="52" spans="2:18" ht="33" customHeight="1" x14ac:dyDescent="0.2">
      <c r="B52" s="79"/>
      <c r="L52" s="77"/>
    </row>
    <row r="53" spans="2:18" ht="33" customHeight="1" x14ac:dyDescent="0.2">
      <c r="B53" s="79"/>
      <c r="L53" s="77"/>
    </row>
    <row r="54" spans="2:18" ht="33" customHeight="1" x14ac:dyDescent="0.2">
      <c r="B54" s="79"/>
      <c r="L54" s="77"/>
    </row>
    <row r="55" spans="2:18" s="85" customFormat="1" ht="21" x14ac:dyDescent="0.35">
      <c r="C55" s="66"/>
      <c r="D55" s="66"/>
      <c r="E55" s="66"/>
      <c r="F55" s="66"/>
      <c r="G55" s="66"/>
      <c r="H55" s="66"/>
      <c r="I55" s="66"/>
      <c r="J55" s="66"/>
      <c r="K55" s="66"/>
      <c r="N55" s="66"/>
      <c r="O55" s="66"/>
      <c r="P55" s="66"/>
      <c r="Q55" s="66"/>
      <c r="R55" s="66"/>
    </row>
    <row r="56" spans="2:18" ht="25.5" customHeight="1" x14ac:dyDescent="0.2">
      <c r="B56" s="82"/>
      <c r="L56" s="90"/>
    </row>
    <row r="57" spans="2:18" ht="14.45" customHeight="1" x14ac:dyDescent="0.2">
      <c r="B57" s="82"/>
      <c r="L57" s="90"/>
    </row>
    <row r="58" spans="2:18" x14ac:dyDescent="0.2">
      <c r="B58" s="82"/>
      <c r="L58" s="89"/>
    </row>
    <row r="59" spans="2:18" x14ac:dyDescent="0.2">
      <c r="B59" s="82"/>
      <c r="L59" s="89"/>
    </row>
    <row r="63" spans="2:18" ht="29.1" customHeight="1" x14ac:dyDescent="0.2"/>
  </sheetData>
  <sheetProtection sheet="1" objects="1" scenarios="1" formatCells="0" formatColumns="0" formatRows="0"/>
  <mergeCells count="61">
    <mergeCell ref="C8:C9"/>
    <mergeCell ref="D8:D9"/>
    <mergeCell ref="M8:M9"/>
    <mergeCell ref="N8:N9"/>
    <mergeCell ref="D10:D11"/>
    <mergeCell ref="M10:M11"/>
    <mergeCell ref="D12:D13"/>
    <mergeCell ref="C16:C17"/>
    <mergeCell ref="D16:D17"/>
    <mergeCell ref="E16:E17"/>
    <mergeCell ref="F16:F17"/>
    <mergeCell ref="M16:M17"/>
    <mergeCell ref="N16:N17"/>
    <mergeCell ref="O16:O17"/>
    <mergeCell ref="P16:P17"/>
    <mergeCell ref="C18:C19"/>
    <mergeCell ref="D18:D19"/>
    <mergeCell ref="M18:M19"/>
    <mergeCell ref="N18:N19"/>
    <mergeCell ref="G16:H16"/>
    <mergeCell ref="P22:P23"/>
    <mergeCell ref="C24:C25"/>
    <mergeCell ref="M24:M25"/>
    <mergeCell ref="C22:C23"/>
    <mergeCell ref="F22:F23"/>
    <mergeCell ref="M22:M23"/>
    <mergeCell ref="N22:N23"/>
    <mergeCell ref="O22:O23"/>
    <mergeCell ref="D24:D25"/>
    <mergeCell ref="N24:N25"/>
    <mergeCell ref="D22:D23"/>
    <mergeCell ref="E22:E23"/>
    <mergeCell ref="G22:H22"/>
    <mergeCell ref="N28:N29"/>
    <mergeCell ref="O28:O29"/>
    <mergeCell ref="P28:P29"/>
    <mergeCell ref="C30:C31"/>
    <mergeCell ref="D30:D31"/>
    <mergeCell ref="M30:M31"/>
    <mergeCell ref="N30:N31"/>
    <mergeCell ref="C28:C29"/>
    <mergeCell ref="D28:D29"/>
    <mergeCell ref="E28:E29"/>
    <mergeCell ref="F28:F29"/>
    <mergeCell ref="G28:H28"/>
    <mergeCell ref="M28:M29"/>
    <mergeCell ref="B39:B40"/>
    <mergeCell ref="C39:C40"/>
    <mergeCell ref="D39:D40"/>
    <mergeCell ref="E39:E40"/>
    <mergeCell ref="F39:K39"/>
    <mergeCell ref="B41:B42"/>
    <mergeCell ref="C41:C42"/>
    <mergeCell ref="B43:B44"/>
    <mergeCell ref="C43:C44"/>
    <mergeCell ref="C45:C46"/>
    <mergeCell ref="D45:D46"/>
    <mergeCell ref="E45:E46"/>
    <mergeCell ref="F45:K45"/>
    <mergeCell ref="B47:B48"/>
    <mergeCell ref="C47:C48"/>
  </mergeCells>
  <conditionalFormatting sqref="E10:K13">
    <cfRule type="cellIs" dxfId="476" priority="28" operator="greaterThanOrEqual">
      <formula>10000</formula>
    </cfRule>
    <cfRule type="cellIs" dxfId="475" priority="39" operator="greaterThan">
      <formula>10000</formula>
    </cfRule>
    <cfRule type="cellIs" dxfId="474" priority="38" operator="greaterThan">
      <formula>10</formula>
    </cfRule>
    <cfRule type="cellIs" dxfId="473" priority="37" operator="between">
      <formula>1</formula>
      <formula>10</formula>
    </cfRule>
    <cfRule type="containsBlanks" dxfId="472" priority="33" stopIfTrue="1">
      <formula>LEN(TRIM(E10))=0</formula>
    </cfRule>
    <cfRule type="cellIs" dxfId="471" priority="32" operator="lessThanOrEqual">
      <formula>0.1</formula>
    </cfRule>
    <cfRule type="cellIs" dxfId="470" priority="31" operator="between">
      <formula>0.1</formula>
      <formula>0.999</formula>
    </cfRule>
    <cfRule type="cellIs" dxfId="469" priority="30" operator="between">
      <formula>1</formula>
      <formula>9.999</formula>
    </cfRule>
    <cfRule type="cellIs" dxfId="468" priority="36" operator="between">
      <formula>0.1</formula>
      <formula>0.999</formula>
    </cfRule>
    <cfRule type="cellIs" dxfId="467" priority="29" operator="greaterThanOrEqual">
      <formula>10</formula>
    </cfRule>
    <cfRule type="cellIs" dxfId="466" priority="35" operator="lessThan">
      <formula>0.1</formula>
    </cfRule>
    <cfRule type="cellIs" dxfId="465" priority="34" operator="equal">
      <formula>0</formula>
    </cfRule>
  </conditionalFormatting>
  <conditionalFormatting sqref="F41:K42">
    <cfRule type="cellIs" dxfId="464" priority="19" operator="greaterThanOrEqual">
      <formula>$E$41</formula>
    </cfRule>
    <cfRule type="cellIs" dxfId="463" priority="20" operator="lessThan">
      <formula>$E$43</formula>
    </cfRule>
  </conditionalFormatting>
  <conditionalFormatting sqref="F41:K44">
    <cfRule type="cellIs" dxfId="462" priority="5" operator="greaterThanOrEqual">
      <formula>10000</formula>
    </cfRule>
    <cfRule type="cellIs" dxfId="461" priority="6" operator="greaterThanOrEqual">
      <formula>10</formula>
    </cfRule>
    <cfRule type="cellIs" dxfId="460" priority="7" operator="between">
      <formula>1</formula>
      <formula>9.999</formula>
    </cfRule>
    <cfRule type="cellIs" dxfId="459" priority="8" operator="between">
      <formula>0.1</formula>
      <formula>0.999</formula>
    </cfRule>
    <cfRule type="containsBlanks" dxfId="458" priority="10" stopIfTrue="1">
      <formula>LEN(TRIM(F41))=0</formula>
    </cfRule>
    <cfRule type="cellIs" dxfId="457" priority="9" operator="lessThanOrEqual">
      <formula>0.1</formula>
    </cfRule>
  </conditionalFormatting>
  <conditionalFormatting sqref="F43:K44">
    <cfRule type="cellIs" dxfId="456" priority="12" operator="lessThan">
      <formula>$E$43</formula>
    </cfRule>
    <cfRule type="cellIs" dxfId="455" priority="11" operator="greaterThanOrEqual">
      <formula>$E$43</formula>
    </cfRule>
  </conditionalFormatting>
  <conditionalFormatting sqref="F47:K47">
    <cfRule type="cellIs" dxfId="454" priority="27" operator="greaterThanOrEqual">
      <formula>0.0001</formula>
    </cfRule>
    <cfRule type="containsBlanks" dxfId="453" priority="26" stopIfTrue="1">
      <formula>LEN(TRIM(F47))=0</formula>
    </cfRule>
  </conditionalFormatting>
  <conditionalFormatting sqref="F47:K48">
    <cfRule type="cellIs" dxfId="452" priority="22" operator="greaterThanOrEqual">
      <formula>10</formula>
    </cfRule>
    <cfRule type="cellIs" dxfId="451" priority="21" operator="greaterThanOrEqual">
      <formula>10000</formula>
    </cfRule>
    <cfRule type="cellIs" dxfId="450" priority="1" operator="between">
      <formula>1</formula>
      <formula>9.999</formula>
    </cfRule>
    <cfRule type="cellIs" dxfId="449" priority="2" operator="between">
      <formula>0.1</formula>
      <formula>0.999</formula>
    </cfRule>
  </conditionalFormatting>
  <conditionalFormatting sqref="F48:K48">
    <cfRule type="cellIs" dxfId="448" priority="25" operator="lessThanOrEqual">
      <formula>0.1</formula>
    </cfRule>
    <cfRule type="cellIs" dxfId="447" priority="4" operator="greaterThanOrEqual">
      <formula>0.0001</formula>
    </cfRule>
    <cfRule type="containsBlanks" dxfId="446" priority="3" stopIfTrue="1">
      <formula>LEN(TRIM(F48))=0</formula>
    </cfRule>
  </conditionalFormatting>
  <conditionalFormatting sqref="G18:K19 G24:K25">
    <cfRule type="cellIs" dxfId="445" priority="74" operator="lessThan">
      <formula>$F18</formula>
    </cfRule>
    <cfRule type="cellIs" dxfId="444" priority="68" operator="greaterThanOrEqual">
      <formula>10000</formula>
    </cfRule>
    <cfRule type="cellIs" dxfId="443" priority="69" operator="greaterThanOrEqual">
      <formula>10</formula>
    </cfRule>
    <cfRule type="cellIs" dxfId="442" priority="70" operator="between">
      <formula>1</formula>
      <formula>9.999</formula>
    </cfRule>
    <cfRule type="cellIs" dxfId="441" priority="71" operator="between">
      <formula>0.1</formula>
      <formula>0.999</formula>
    </cfRule>
    <cfRule type="cellIs" dxfId="440" priority="72" operator="lessThanOrEqual">
      <formula>0.1</formula>
    </cfRule>
    <cfRule type="containsBlanks" dxfId="439" priority="73" stopIfTrue="1">
      <formula>LEN(TRIM(G18))=0</formula>
    </cfRule>
  </conditionalFormatting>
  <conditionalFormatting sqref="G30:K31 Q30:Q31">
    <cfRule type="cellIs" dxfId="438" priority="66" operator="greaterThan">
      <formula>0.0001</formula>
    </cfRule>
  </conditionalFormatting>
  <conditionalFormatting sqref="G30:K31">
    <cfRule type="cellIs" dxfId="437" priority="65" operator="equal">
      <formula>0</formula>
    </cfRule>
    <cfRule type="cellIs" dxfId="436" priority="59" operator="greaterThanOrEqual">
      <formula>10000</formula>
    </cfRule>
    <cfRule type="cellIs" dxfId="435" priority="60" operator="greaterThanOrEqual">
      <formula>10</formula>
    </cfRule>
    <cfRule type="cellIs" dxfId="434" priority="61" operator="between">
      <formula>1</formula>
      <formula>9.999</formula>
    </cfRule>
    <cfRule type="cellIs" dxfId="433" priority="62" operator="between">
      <formula>0.1</formula>
      <formula>0.999</formula>
    </cfRule>
    <cfRule type="cellIs" dxfId="432" priority="63" operator="lessThanOrEqual">
      <formula>0.1</formula>
    </cfRule>
    <cfRule type="containsBlanks" dxfId="431" priority="64" stopIfTrue="1">
      <formula>LEN(TRIM(G30))=0</formula>
    </cfRule>
  </conditionalFormatting>
  <conditionalFormatting sqref="O10:R11">
    <cfRule type="cellIs" dxfId="430" priority="40" operator="greaterThanOrEqual">
      <formula>10000</formula>
    </cfRule>
    <cfRule type="cellIs" dxfId="429" priority="42" operator="between">
      <formula>1</formula>
      <formula>9.999</formula>
    </cfRule>
    <cfRule type="cellIs" dxfId="428" priority="43" operator="between">
      <formula>0.1</formula>
      <formula>0.999</formula>
    </cfRule>
    <cfRule type="cellIs" dxfId="427" priority="44" operator="lessThanOrEqual">
      <formula>0.1</formula>
    </cfRule>
    <cfRule type="containsBlanks" dxfId="426" priority="45" stopIfTrue="1">
      <formula>LEN(TRIM(O10))=0</formula>
    </cfRule>
    <cfRule type="cellIs" dxfId="425" priority="46" operator="equal">
      <formula>0</formula>
    </cfRule>
    <cfRule type="cellIs" dxfId="424" priority="47" operator="lessThan">
      <formula>0.1</formula>
    </cfRule>
    <cfRule type="cellIs" dxfId="423" priority="41" operator="greaterThanOrEqual">
      <formula>10</formula>
    </cfRule>
    <cfRule type="cellIs" dxfId="422" priority="48" operator="between">
      <formula>0.1</formula>
      <formula>0.999</formula>
    </cfRule>
    <cfRule type="cellIs" dxfId="421" priority="49" operator="between">
      <formula>1</formula>
      <formula>10</formula>
    </cfRule>
    <cfRule type="cellIs" dxfId="420" priority="50" operator="greaterThan">
      <formula>10</formula>
    </cfRule>
    <cfRule type="cellIs" dxfId="419" priority="51" operator="greaterThan">
      <formula>10000</formula>
    </cfRule>
  </conditionalFormatting>
  <conditionalFormatting sqref="Q18:Q19 Q24:Q25">
    <cfRule type="cellIs" dxfId="418" priority="55" operator="between">
      <formula>0.1</formula>
      <formula>0.999</formula>
    </cfRule>
    <cfRule type="cellIs" dxfId="417" priority="56" operator="lessThanOrEqual">
      <formula>0.1</formula>
    </cfRule>
    <cfRule type="cellIs" dxfId="416" priority="58" operator="lessThan">
      <formula>$P18</formula>
    </cfRule>
    <cfRule type="cellIs" dxfId="415" priority="52" operator="greaterThanOrEqual">
      <formula>10000</formula>
    </cfRule>
    <cfRule type="cellIs" dxfId="414" priority="53" operator="greaterThanOrEqual">
      <formula>10</formula>
    </cfRule>
    <cfRule type="cellIs" dxfId="413" priority="54" operator="between">
      <formula>1</formula>
      <formula>9.999</formula>
    </cfRule>
    <cfRule type="containsBlanks" dxfId="412" priority="57" stopIfTrue="1">
      <formula>LEN(TRIM(Q18))=0</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1FD15E2-C71D-4F1F-86AB-80DFE7B0C53B}">
          <x14:formula1>
            <xm:f>'List Values'!$B$4:$B$5</xm:f>
          </x14:formula1>
          <xm:sqref>C36:C37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9F6EF-52DD-4C32-9406-196056CBF762}">
  <dimension ref="B1:U63"/>
  <sheetViews>
    <sheetView topLeftCell="F1" workbookViewId="0">
      <selection activeCell="S9" sqref="S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12" width="15.85546875" style="66" customWidth="1"/>
    <col min="13" max="13" width="12.85546875" style="66" customWidth="1"/>
    <col min="14" max="14" width="26.5703125" style="66" customWidth="1"/>
    <col min="15" max="15" width="28.42578125" style="66" customWidth="1"/>
    <col min="16" max="19" width="14.85546875" style="66" customWidth="1"/>
    <col min="20" max="21" width="13.5703125" style="66" customWidth="1"/>
    <col min="22" max="16384" width="8.7109375" style="66"/>
  </cols>
  <sheetData>
    <row r="1" spans="2:21" ht="21" x14ac:dyDescent="0.35">
      <c r="C1" s="83"/>
    </row>
    <row r="2" spans="2:21" ht="21" x14ac:dyDescent="0.35">
      <c r="C2" s="83" t="s">
        <v>462</v>
      </c>
      <c r="M2" s="68"/>
      <c r="T2" s="67"/>
    </row>
    <row r="3" spans="2:21" ht="15.75" x14ac:dyDescent="0.25">
      <c r="C3" s="67"/>
      <c r="M3" s="68"/>
      <c r="T3" s="67"/>
    </row>
    <row r="4" spans="2:21" ht="21" x14ac:dyDescent="0.35">
      <c r="C4" s="84" t="s">
        <v>83</v>
      </c>
      <c r="D4" s="85"/>
      <c r="E4" s="85"/>
      <c r="F4" s="85"/>
      <c r="G4" s="85"/>
      <c r="H4" s="85"/>
      <c r="I4" s="85"/>
      <c r="J4" s="85"/>
      <c r="K4" s="85"/>
      <c r="L4" s="85"/>
      <c r="N4" s="84" t="s">
        <v>29</v>
      </c>
      <c r="T4" s="67"/>
    </row>
    <row r="5" spans="2:21" ht="21" x14ac:dyDescent="0.35">
      <c r="C5" s="85"/>
      <c r="D5" s="85"/>
      <c r="E5" s="85"/>
      <c r="F5" s="85"/>
      <c r="G5" s="85"/>
      <c r="H5" s="85"/>
      <c r="I5" s="85"/>
      <c r="J5" s="85"/>
      <c r="K5" s="85"/>
      <c r="L5" s="85"/>
      <c r="N5" s="83"/>
      <c r="T5" s="67"/>
    </row>
    <row r="6" spans="2:21" ht="21" x14ac:dyDescent="0.35">
      <c r="C6" s="83" t="s">
        <v>84</v>
      </c>
      <c r="D6" s="85"/>
      <c r="E6" s="85"/>
      <c r="F6" s="85"/>
      <c r="G6" s="85"/>
      <c r="H6" s="85"/>
      <c r="I6" s="85"/>
      <c r="J6" s="85"/>
      <c r="K6" s="85"/>
      <c r="L6" s="85"/>
      <c r="N6" s="83" t="s">
        <v>84</v>
      </c>
      <c r="T6" s="67"/>
    </row>
    <row r="7" spans="2:21" ht="15.75" x14ac:dyDescent="0.25">
      <c r="C7" s="67"/>
      <c r="M7" s="68"/>
      <c r="T7" s="67"/>
    </row>
    <row r="8" spans="2:21" ht="38.25" x14ac:dyDescent="0.25">
      <c r="C8" s="592" t="s">
        <v>85</v>
      </c>
      <c r="D8" s="593" t="s">
        <v>23</v>
      </c>
      <c r="E8" s="411" t="s">
        <v>86</v>
      </c>
      <c r="F8" s="411" t="s">
        <v>87</v>
      </c>
      <c r="G8" s="411" t="s">
        <v>89</v>
      </c>
      <c r="H8" s="411" t="s">
        <v>90</v>
      </c>
      <c r="I8" s="291"/>
      <c r="J8" s="291"/>
      <c r="K8" s="291"/>
      <c r="L8" s="291"/>
      <c r="M8" s="1"/>
      <c r="N8" s="592" t="s">
        <v>85</v>
      </c>
      <c r="O8" s="592" t="s">
        <v>23</v>
      </c>
      <c r="P8" s="411" t="s">
        <v>91</v>
      </c>
      <c r="Q8" s="411" t="s">
        <v>92</v>
      </c>
      <c r="R8" s="411" t="s">
        <v>94</v>
      </c>
      <c r="S8" s="411" t="s">
        <v>95</v>
      </c>
      <c r="U8" s="67"/>
    </row>
    <row r="9" spans="2:21" ht="27" x14ac:dyDescent="0.25">
      <c r="C9" s="592"/>
      <c r="D9" s="593"/>
      <c r="E9" s="411" t="s">
        <v>192</v>
      </c>
      <c r="F9" s="411" t="s">
        <v>193</v>
      </c>
      <c r="G9" s="411" t="s">
        <v>194</v>
      </c>
      <c r="H9" s="411" t="s">
        <v>195</v>
      </c>
      <c r="I9" s="291"/>
      <c r="J9" s="291"/>
      <c r="K9" s="291"/>
      <c r="L9" s="291"/>
      <c r="M9" s="1"/>
      <c r="N9" s="592"/>
      <c r="O9" s="592"/>
      <c r="P9" s="411" t="s">
        <v>100</v>
      </c>
      <c r="Q9" s="411" t="s">
        <v>196</v>
      </c>
      <c r="R9" s="411" t="s">
        <v>197</v>
      </c>
      <c r="S9" s="411" t="s">
        <v>510</v>
      </c>
      <c r="U9" s="67"/>
    </row>
    <row r="10" spans="2:21" ht="15.75" x14ac:dyDescent="0.25">
      <c r="C10" s="88" t="s">
        <v>30</v>
      </c>
      <c r="D10" s="594" t="s">
        <v>103</v>
      </c>
      <c r="E10" s="316">
        <f>'Inhalation Exposures'!I71</f>
        <v>1.437185378513083</v>
      </c>
      <c r="F10" s="316">
        <f>'Inhalation Exposures'!K71</f>
        <v>0.97767712824019259</v>
      </c>
      <c r="G10" s="316">
        <f>'Inhalation Exposures'!O71</f>
        <v>0.66964186865766606</v>
      </c>
      <c r="H10" s="316">
        <f>'Inhalation Exposures'!Q71</f>
        <v>0.34340608649111076</v>
      </c>
      <c r="I10" s="329"/>
      <c r="J10" s="329"/>
      <c r="K10" s="329"/>
      <c r="L10" s="329"/>
      <c r="M10" s="1"/>
      <c r="N10" s="595" t="s">
        <v>104</v>
      </c>
      <c r="O10" s="72" t="s">
        <v>103</v>
      </c>
      <c r="P10" s="316">
        <f>IFERROR(INDEX('Dermal Exposures'!$J$33:$J$34, MATCH(CTC_operator!$C$2, 'Dermal Exposures'!$A$33:$A$34, 0)), "")</f>
        <v>15.95</v>
      </c>
      <c r="Q10" s="316">
        <f>IFERROR(INDEX('Dermal Exposures'!$K$33:$K$34, MATCH(CTC_operator!$C$2, 'Dermal Exposures'!$A$33:$A$34, 0)), "")</f>
        <v>0.2</v>
      </c>
      <c r="R10" s="316">
        <f>IFERROR(INDEX('Dermal Exposures'!$M$33:$M$34, MATCH(CTC_operator!$C$2, 'Dermal Exposures'!$A$33:$A$34, 0)), "")</f>
        <v>0.14000000000000001</v>
      </c>
      <c r="S10" s="316">
        <f>IFERROR(INDEX('Dermal Exposures'!$N$33:$N$34, MATCH(CTC_operator!$C$2, 'Dermal Exposures'!$A$33:$A$34, 0)), "")</f>
        <v>0.06</v>
      </c>
      <c r="U10" s="67"/>
    </row>
    <row r="11" spans="2:21" ht="15.75" x14ac:dyDescent="0.25">
      <c r="C11" s="88" t="s">
        <v>28</v>
      </c>
      <c r="D11" s="594"/>
      <c r="E11" s="316">
        <f>'Inhalation Exposures'!I81</f>
        <v>0.28046726481624995</v>
      </c>
      <c r="F11" s="316">
        <f>'Inhalation Exposures'!K81</f>
        <v>0.19079405769812921</v>
      </c>
      <c r="G11" s="316">
        <f>'Inhalation Exposures'!O81</f>
        <v>0.13068086143707483</v>
      </c>
      <c r="H11" s="316">
        <f>'Inhalation Exposures'!Q81</f>
        <v>6.7015826377987087E-2</v>
      </c>
      <c r="I11" s="329"/>
      <c r="J11" s="329"/>
      <c r="K11" s="329"/>
      <c r="L11" s="329"/>
      <c r="M11" s="1"/>
      <c r="N11" s="595"/>
      <c r="O11" s="72" t="s">
        <v>27</v>
      </c>
      <c r="P11" s="316">
        <f>IFERROR(INDEX('Dermal Exposures'!$O$33:$O$34, MATCH(CTC_operator!$C$2, 'Dermal Exposures'!$A$33:$A$34, 0)), "")</f>
        <v>5.96</v>
      </c>
      <c r="Q11" s="316">
        <f>IFERROR(INDEX('Dermal Exposures'!$P$33:$P$34, MATCH(CTC_operator!$C$2, 'Dermal Exposures'!$A$33:$A$34, 0)), "")</f>
        <v>7.0000000000000007E-2</v>
      </c>
      <c r="R11" s="316">
        <f>IFERROR(INDEX('Dermal Exposures'!$R$33:$R$34, MATCH(CTC_operator!$C$2, 'Dermal Exposures'!$A$33:$A$34, 0)), "")</f>
        <v>0.05</v>
      </c>
      <c r="S11" s="316">
        <f>IFERROR(INDEX('Dermal Exposures'!$S$33:$S$34, MATCH(CTC_operator!$C$2, 'Dermal Exposures'!$A$33:$A$34, 0)), "")</f>
        <v>0.02</v>
      </c>
      <c r="U11" s="67"/>
    </row>
    <row r="12" spans="2:21" ht="15.75" x14ac:dyDescent="0.25">
      <c r="C12" s="88" t="s">
        <v>30</v>
      </c>
      <c r="D12" s="591" t="s">
        <v>27</v>
      </c>
      <c r="E12" s="316">
        <f>'Inhalation Exposures'!J71</f>
        <v>0.33135820161993446</v>
      </c>
      <c r="F12" s="316">
        <f>'Inhalation Exposures'!L71</f>
        <v>0.2254137425985949</v>
      </c>
      <c r="G12" s="316">
        <f>'Inhalation Exposures'!P71</f>
        <v>0.15439297438259925</v>
      </c>
      <c r="H12" s="316">
        <f>'Inhalation Exposures'!R71</f>
        <v>6.1361310331545849E-2</v>
      </c>
      <c r="I12" s="329"/>
      <c r="J12" s="329"/>
      <c r="K12" s="329"/>
      <c r="L12" s="329"/>
      <c r="M12" s="1"/>
      <c r="N12" s="565" t="s">
        <v>464</v>
      </c>
      <c r="O12" s="71" t="s">
        <v>103</v>
      </c>
      <c r="P12" s="316">
        <f>P10/'List Values'!$B$16</f>
        <v>3.19</v>
      </c>
      <c r="Q12" s="316">
        <f>Q10/'List Values'!$B$16</f>
        <v>0.04</v>
      </c>
      <c r="R12" s="316">
        <f>R10/'List Values'!$B$16</f>
        <v>2.8000000000000004E-2</v>
      </c>
      <c r="S12" s="316">
        <f>S10/'List Values'!$B$16</f>
        <v>1.2E-2</v>
      </c>
      <c r="T12" s="67"/>
    </row>
    <row r="13" spans="2:21" ht="15.75" x14ac:dyDescent="0.25">
      <c r="C13" s="88" t="s">
        <v>28</v>
      </c>
      <c r="D13" s="591"/>
      <c r="E13" s="316">
        <f>'Inhalation Exposures'!J81</f>
        <v>6.1314082626080742E-2</v>
      </c>
      <c r="F13" s="316">
        <f>'Inhalation Exposures'!L81</f>
        <v>4.1710260289850844E-2</v>
      </c>
      <c r="G13" s="316">
        <f>'Inhalation Exposures'!P81</f>
        <v>2.8568671431404687E-2</v>
      </c>
      <c r="H13" s="316">
        <f>'Inhalation Exposures'!R81</f>
        <v>1.1354215568891607E-2</v>
      </c>
      <c r="I13" s="329"/>
      <c r="J13" s="329"/>
      <c r="K13" s="329"/>
      <c r="L13" s="329"/>
      <c r="M13" s="1"/>
      <c r="N13" s="565"/>
      <c r="O13" s="71" t="s">
        <v>27</v>
      </c>
      <c r="P13" s="316">
        <f>P11/'List Values'!$B$16</f>
        <v>1.1919999999999999</v>
      </c>
      <c r="Q13" s="316">
        <f>Q11/'List Values'!$B$16</f>
        <v>1.4000000000000002E-2</v>
      </c>
      <c r="R13" s="316">
        <f>R11/'List Values'!$B$16</f>
        <v>0.01</v>
      </c>
      <c r="S13" s="316">
        <f>S11/'List Values'!$B$16</f>
        <v>4.0000000000000001E-3</v>
      </c>
      <c r="T13" s="67"/>
    </row>
    <row r="14" spans="2:21" x14ac:dyDescent="0.2">
      <c r="N14" s="565" t="s">
        <v>465</v>
      </c>
      <c r="O14" s="71" t="s">
        <v>103</v>
      </c>
      <c r="P14" s="316">
        <f>P10/'List Values'!$B$17</f>
        <v>1.595</v>
      </c>
      <c r="Q14" s="316">
        <f>Q10/'List Values'!$B$17</f>
        <v>0.02</v>
      </c>
      <c r="R14" s="316">
        <f>R10/'List Values'!$B$17</f>
        <v>1.4000000000000002E-2</v>
      </c>
      <c r="S14" s="316">
        <f>S10/'List Values'!$B$17</f>
        <v>6.0000000000000001E-3</v>
      </c>
    </row>
    <row r="15" spans="2:21" ht="21" x14ac:dyDescent="0.35">
      <c r="C15" s="83" t="s">
        <v>105</v>
      </c>
      <c r="N15" s="565"/>
      <c r="O15" s="71" t="s">
        <v>27</v>
      </c>
      <c r="P15" s="316">
        <f>P11/'List Values'!$B$17</f>
        <v>0.59599999999999997</v>
      </c>
      <c r="Q15" s="316">
        <f>Q11/'List Values'!$B$17</f>
        <v>7.000000000000001E-3</v>
      </c>
      <c r="R15" s="316">
        <f>R11/'List Values'!$B$17</f>
        <v>5.0000000000000001E-3</v>
      </c>
      <c r="S15" s="316">
        <f>S11/'List Values'!$B$17</f>
        <v>2E-3</v>
      </c>
    </row>
    <row r="16" spans="2:21" ht="28.5" customHeight="1" x14ac:dyDescent="0.2">
      <c r="B16" s="70"/>
      <c r="C16" s="568" t="s">
        <v>106</v>
      </c>
      <c r="D16" s="568" t="s">
        <v>107</v>
      </c>
      <c r="E16" s="568" t="s">
        <v>23</v>
      </c>
      <c r="F16" s="568" t="s">
        <v>108</v>
      </c>
      <c r="G16" s="568" t="s">
        <v>109</v>
      </c>
      <c r="H16" s="568"/>
      <c r="I16" s="90"/>
      <c r="J16" s="90"/>
      <c r="K16" s="90"/>
      <c r="L16" s="90"/>
      <c r="M16" s="90"/>
      <c r="N16" s="565" t="s">
        <v>466</v>
      </c>
      <c r="O16" s="71" t="s">
        <v>103</v>
      </c>
      <c r="P16" s="316">
        <f>P10/'List Values'!$B$18</f>
        <v>0.79749999999999999</v>
      </c>
      <c r="Q16" s="316">
        <f>Q10/'List Values'!$B$18</f>
        <v>0.01</v>
      </c>
      <c r="R16" s="316">
        <f>R10/'List Values'!$B$18</f>
        <v>7.000000000000001E-3</v>
      </c>
      <c r="S16" s="316">
        <f>S10/'List Values'!$B$18</f>
        <v>3.0000000000000001E-3</v>
      </c>
    </row>
    <row r="17" spans="2:19" ht="26.1" customHeight="1" x14ac:dyDescent="0.2">
      <c r="B17" s="70"/>
      <c r="C17" s="568"/>
      <c r="D17" s="568"/>
      <c r="E17" s="568"/>
      <c r="F17" s="568"/>
      <c r="G17" s="413" t="s">
        <v>110</v>
      </c>
      <c r="H17" s="413" t="s">
        <v>111</v>
      </c>
      <c r="I17" s="90"/>
      <c r="J17" s="90"/>
      <c r="K17" s="90"/>
      <c r="L17" s="90"/>
      <c r="M17" s="90"/>
      <c r="N17" s="565"/>
      <c r="O17" s="71" t="s">
        <v>27</v>
      </c>
      <c r="P17" s="316">
        <f>P11/'List Values'!$B$18</f>
        <v>0.29799999999999999</v>
      </c>
      <c r="Q17" s="316">
        <f>Q11/'List Values'!$B$18</f>
        <v>3.5000000000000005E-3</v>
      </c>
      <c r="R17" s="316">
        <f>R11/'List Values'!$B$18</f>
        <v>2.5000000000000001E-3</v>
      </c>
      <c r="S17" s="316">
        <f>S11/'List Values'!$B$18</f>
        <v>1E-3</v>
      </c>
    </row>
    <row r="18" spans="2:19" ht="27.6" customHeight="1" x14ac:dyDescent="0.2">
      <c r="B18" s="70"/>
      <c r="C18" s="577" t="s">
        <v>198</v>
      </c>
      <c r="D18" s="580">
        <v>37.194773111428944</v>
      </c>
      <c r="E18" s="71" t="s">
        <v>103</v>
      </c>
      <c r="F18" s="100">
        <v>10</v>
      </c>
      <c r="G18" s="101">
        <f>D18/$F$10</f>
        <v>38.044025002793205</v>
      </c>
      <c r="H18" s="102">
        <f>D18/$F$11</f>
        <v>194.94723032872344</v>
      </c>
      <c r="I18" s="330"/>
      <c r="J18" s="330"/>
      <c r="K18" s="330"/>
      <c r="L18" s="330"/>
      <c r="M18" s="77"/>
    </row>
    <row r="19" spans="2:19" ht="25.5" customHeight="1" x14ac:dyDescent="0.35">
      <c r="B19" s="70"/>
      <c r="C19" s="577"/>
      <c r="D19" s="555"/>
      <c r="E19" s="71" t="s">
        <v>27</v>
      </c>
      <c r="F19" s="100">
        <v>10</v>
      </c>
      <c r="G19" s="101">
        <f>D18/$F$12</f>
        <v>165.00667919641202</v>
      </c>
      <c r="H19" s="102">
        <f>D18/$F$13</f>
        <v>891.74157276787287</v>
      </c>
      <c r="I19" s="330"/>
      <c r="J19" s="330"/>
      <c r="K19" s="330"/>
      <c r="L19" s="330"/>
      <c r="M19" s="77"/>
      <c r="N19" s="83" t="s">
        <v>113</v>
      </c>
    </row>
    <row r="20" spans="2:19"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19" s="85" customFormat="1" ht="27.75" x14ac:dyDescent="0.35">
      <c r="B21" s="83"/>
      <c r="C21" s="83" t="s">
        <v>122</v>
      </c>
      <c r="F21" s="86"/>
      <c r="N21" s="571"/>
      <c r="O21" s="571"/>
      <c r="P21" s="571"/>
      <c r="Q21" s="571"/>
      <c r="R21" s="422" t="s">
        <v>116</v>
      </c>
      <c r="S21" s="66"/>
    </row>
    <row r="22" spans="2:19" ht="33" customHeight="1" x14ac:dyDescent="0.2">
      <c r="B22" s="79"/>
      <c r="C22" s="568" t="s">
        <v>106</v>
      </c>
      <c r="D22" s="568" t="s">
        <v>107</v>
      </c>
      <c r="E22" s="568" t="s">
        <v>23</v>
      </c>
      <c r="F22" s="568" t="s">
        <v>108</v>
      </c>
      <c r="G22" s="568" t="s">
        <v>123</v>
      </c>
      <c r="H22" s="568"/>
      <c r="I22" s="90"/>
      <c r="J22" s="90"/>
      <c r="K22" s="90"/>
      <c r="L22" s="90"/>
      <c r="M22" s="90"/>
      <c r="N22" s="577" t="s">
        <v>199</v>
      </c>
      <c r="O22" s="589">
        <v>17</v>
      </c>
      <c r="P22" s="72" t="s">
        <v>103</v>
      </c>
      <c r="Q22" s="412">
        <v>30</v>
      </c>
      <c r="R22" s="101">
        <f>IFERROR(O22/Q10, "")</f>
        <v>85</v>
      </c>
    </row>
    <row r="23" spans="2:19" ht="24" customHeight="1" x14ac:dyDescent="0.2">
      <c r="B23" s="79"/>
      <c r="C23" s="582"/>
      <c r="D23" s="568"/>
      <c r="E23" s="568"/>
      <c r="F23" s="568"/>
      <c r="G23" s="413" t="s">
        <v>110</v>
      </c>
      <c r="H23" s="413" t="s">
        <v>111</v>
      </c>
      <c r="I23" s="90"/>
      <c r="J23" s="90"/>
      <c r="K23" s="90"/>
      <c r="L23" s="90"/>
      <c r="M23" s="90"/>
      <c r="N23" s="577"/>
      <c r="O23" s="590"/>
      <c r="P23" s="72" t="s">
        <v>27</v>
      </c>
      <c r="Q23" s="412">
        <v>30</v>
      </c>
      <c r="R23" s="101">
        <f>IFERROR(O22/Q11, "")</f>
        <v>242.85714285714283</v>
      </c>
    </row>
    <row r="24" spans="2:19" ht="33" customHeight="1" x14ac:dyDescent="0.2">
      <c r="B24" s="79"/>
      <c r="C24" s="577" t="s">
        <v>200</v>
      </c>
      <c r="D24" s="578">
        <v>2.2730139123651023</v>
      </c>
      <c r="E24" s="72" t="s">
        <v>103</v>
      </c>
      <c r="F24" s="100">
        <v>30</v>
      </c>
      <c r="G24" s="419">
        <f>D24/$G$10</f>
        <v>3.3943724530269943</v>
      </c>
      <c r="H24" s="419">
        <f>D24/$G$11</f>
        <v>17.393625105996101</v>
      </c>
      <c r="I24" s="96"/>
      <c r="J24" s="96"/>
      <c r="K24" s="96"/>
      <c r="L24" s="96"/>
      <c r="M24" s="77"/>
      <c r="N24" s="74"/>
      <c r="O24" s="75"/>
      <c r="P24" s="81"/>
      <c r="R24" s="77"/>
    </row>
    <row r="25" spans="2:19" ht="33" customHeight="1" x14ac:dyDescent="0.35">
      <c r="B25" s="79"/>
      <c r="C25" s="577"/>
      <c r="D25" s="559"/>
      <c r="E25" s="72" t="s">
        <v>27</v>
      </c>
      <c r="F25" s="100">
        <v>30</v>
      </c>
      <c r="G25" s="419">
        <f>D24/$G$12</f>
        <v>14.722262599413208</v>
      </c>
      <c r="H25" s="419">
        <f>D24/$G$13</f>
        <v>79.563164770289106</v>
      </c>
      <c r="I25" s="96"/>
      <c r="J25" s="96"/>
      <c r="K25" s="96"/>
      <c r="L25" s="96"/>
      <c r="M25" s="77"/>
      <c r="N25" s="83" t="s">
        <v>125</v>
      </c>
      <c r="O25" s="85"/>
      <c r="P25" s="85"/>
      <c r="Q25" s="85"/>
      <c r="R25" s="85"/>
      <c r="S25" s="85"/>
    </row>
    <row r="26" spans="2:19" ht="25.5" x14ac:dyDescent="0.2">
      <c r="B26" s="79"/>
      <c r="C26" s="80"/>
      <c r="D26" s="75"/>
      <c r="E26" s="81"/>
      <c r="F26" s="75"/>
      <c r="G26" s="77"/>
      <c r="H26" s="77"/>
      <c r="I26" s="77"/>
      <c r="J26" s="77"/>
      <c r="K26" s="77"/>
      <c r="L26" s="77"/>
      <c r="M26" s="77"/>
      <c r="N26" s="566" t="s">
        <v>106</v>
      </c>
      <c r="O26" s="566" t="s">
        <v>121</v>
      </c>
      <c r="P26" s="566" t="s">
        <v>23</v>
      </c>
      <c r="Q26" s="566" t="s">
        <v>108</v>
      </c>
      <c r="R26" s="411" t="s">
        <v>123</v>
      </c>
    </row>
    <row r="27" spans="2:19" ht="33" customHeight="1" x14ac:dyDescent="0.35">
      <c r="B27" s="79"/>
      <c r="C27" s="83" t="s">
        <v>126</v>
      </c>
      <c r="D27" s="85"/>
      <c r="E27" s="85"/>
      <c r="F27" s="85"/>
      <c r="G27" s="85"/>
      <c r="H27" s="85"/>
      <c r="I27" s="85"/>
      <c r="J27" s="85"/>
      <c r="K27" s="85"/>
      <c r="L27" s="85"/>
      <c r="M27" s="77"/>
      <c r="N27" s="581"/>
      <c r="O27" s="567"/>
      <c r="P27" s="567"/>
      <c r="Q27" s="567"/>
      <c r="R27" s="411" t="s">
        <v>116</v>
      </c>
    </row>
    <row r="28" spans="2:19" ht="33" customHeight="1" x14ac:dyDescent="0.2">
      <c r="B28" s="79"/>
      <c r="C28" s="582" t="s">
        <v>127</v>
      </c>
      <c r="D28" s="566" t="s">
        <v>128</v>
      </c>
      <c r="E28" s="566" t="s">
        <v>23</v>
      </c>
      <c r="F28" s="583" t="s">
        <v>129</v>
      </c>
      <c r="G28" s="568" t="s">
        <v>130</v>
      </c>
      <c r="H28" s="568"/>
      <c r="I28" s="90"/>
      <c r="J28" s="90"/>
      <c r="K28" s="90"/>
      <c r="L28" s="90"/>
      <c r="M28" s="77"/>
      <c r="N28" s="577" t="s">
        <v>200</v>
      </c>
      <c r="O28" s="580">
        <v>1.7</v>
      </c>
      <c r="P28" s="72" t="s">
        <v>103</v>
      </c>
      <c r="Q28" s="412">
        <v>30</v>
      </c>
      <c r="R28" s="107">
        <f>IFERROR(O28/$R$10, "")</f>
        <v>12.142857142857141</v>
      </c>
    </row>
    <row r="29" spans="2:19" ht="33" customHeight="1" x14ac:dyDescent="0.2">
      <c r="B29" s="79"/>
      <c r="C29" s="608"/>
      <c r="D29" s="567"/>
      <c r="E29" s="567"/>
      <c r="F29" s="584"/>
      <c r="G29" s="413" t="s">
        <v>131</v>
      </c>
      <c r="H29" s="413" t="s">
        <v>28</v>
      </c>
      <c r="I29" s="90"/>
      <c r="J29" s="90"/>
      <c r="K29" s="90"/>
      <c r="L29" s="90"/>
      <c r="M29" s="77"/>
      <c r="N29" s="577"/>
      <c r="O29" s="555"/>
      <c r="P29" s="72" t="s">
        <v>27</v>
      </c>
      <c r="Q29" s="412">
        <v>30</v>
      </c>
      <c r="R29" s="107">
        <f>IFERROR(O28/$R$11, "")</f>
        <v>34</v>
      </c>
    </row>
    <row r="30" spans="2:19" ht="33" customHeight="1" x14ac:dyDescent="0.2">
      <c r="B30" s="79"/>
      <c r="C30" s="604" t="s">
        <v>201</v>
      </c>
      <c r="D30" s="574">
        <v>3.7747239263803682E-2</v>
      </c>
      <c r="E30" s="71" t="s">
        <v>103</v>
      </c>
      <c r="F30" s="106">
        <v>1E-4</v>
      </c>
      <c r="G30" s="103">
        <f>H10*D30</f>
        <v>1.296263171142642E-2</v>
      </c>
      <c r="H30" s="403">
        <f>H11*D30</f>
        <v>2.5296624327514048E-3</v>
      </c>
      <c r="I30" s="331"/>
      <c r="J30" s="331"/>
      <c r="K30" s="331"/>
      <c r="L30" s="331"/>
      <c r="M30" s="77"/>
    </row>
    <row r="31" spans="2:19" ht="33" customHeight="1" x14ac:dyDescent="0.35">
      <c r="B31" s="79"/>
      <c r="C31" s="604"/>
      <c r="D31" s="575"/>
      <c r="E31" s="71" t="s">
        <v>27</v>
      </c>
      <c r="F31" s="106">
        <v>1E-4</v>
      </c>
      <c r="G31" s="105">
        <f>H12*D30</f>
        <v>2.3162200626253701E-3</v>
      </c>
      <c r="H31" s="289">
        <f>H13*D30</f>
        <v>4.2859029173175633E-4</v>
      </c>
      <c r="I31" s="336"/>
      <c r="J31" s="336"/>
      <c r="K31" s="336"/>
      <c r="L31" s="336"/>
      <c r="M31" s="77"/>
      <c r="N31" s="83" t="s">
        <v>126</v>
      </c>
      <c r="O31" s="85"/>
      <c r="P31" s="85"/>
      <c r="R31" s="85"/>
    </row>
    <row r="32" spans="2:19" ht="33" customHeight="1" x14ac:dyDescent="0.2">
      <c r="B32" s="79"/>
      <c r="I32" s="77"/>
      <c r="J32" s="77"/>
      <c r="K32" s="77"/>
      <c r="L32" s="77"/>
      <c r="M32" s="77"/>
      <c r="N32" s="566" t="s">
        <v>127</v>
      </c>
      <c r="O32" s="566" t="s">
        <v>133</v>
      </c>
      <c r="P32" s="566" t="s">
        <v>23</v>
      </c>
      <c r="Q32" s="566" t="s">
        <v>129</v>
      </c>
      <c r="R32" s="411" t="s">
        <v>130</v>
      </c>
    </row>
    <row r="33" spans="2:20" ht="33" customHeight="1" x14ac:dyDescent="0.35">
      <c r="B33" s="79"/>
      <c r="C33" s="83" t="s">
        <v>134</v>
      </c>
      <c r="I33" s="77"/>
      <c r="J33" s="77"/>
      <c r="K33" s="77"/>
      <c r="L33" s="77"/>
      <c r="M33" s="77"/>
      <c r="N33" s="581"/>
      <c r="O33" s="567"/>
      <c r="P33" s="567"/>
      <c r="Q33" s="567"/>
      <c r="R33" s="411" t="s">
        <v>135</v>
      </c>
    </row>
    <row r="34" spans="2:20" ht="33" customHeight="1" thickBot="1" x14ac:dyDescent="0.4">
      <c r="B34" s="79"/>
      <c r="C34" s="83"/>
      <c r="I34" s="77"/>
      <c r="J34" s="77"/>
      <c r="K34" s="77"/>
      <c r="L34" s="77"/>
      <c r="M34" s="77"/>
      <c r="N34" s="604" t="s">
        <v>201</v>
      </c>
      <c r="O34" s="574">
        <v>0.05</v>
      </c>
      <c r="P34" s="71" t="s">
        <v>103</v>
      </c>
      <c r="Q34" s="107">
        <v>1E-4</v>
      </c>
      <c r="R34" s="107">
        <f>IFERROR(S10*O34, "")</f>
        <v>3.0000000000000001E-3</v>
      </c>
    </row>
    <row r="35" spans="2:20" ht="33" customHeight="1" x14ac:dyDescent="0.25">
      <c r="B35" s="79"/>
      <c r="C35" s="325" t="s">
        <v>136</v>
      </c>
      <c r="I35" s="77"/>
      <c r="J35" s="77"/>
      <c r="K35" s="77"/>
      <c r="L35" s="77"/>
      <c r="M35" s="77"/>
      <c r="N35" s="604"/>
      <c r="O35" s="575"/>
      <c r="P35" s="71" t="s">
        <v>27</v>
      </c>
      <c r="Q35" s="107">
        <v>1E-4</v>
      </c>
      <c r="R35" s="107">
        <f>IFERROR(S11*O34, "")</f>
        <v>1E-3</v>
      </c>
    </row>
    <row r="36" spans="2:20" ht="33" customHeight="1" thickBot="1" x14ac:dyDescent="0.3">
      <c r="B36" s="79"/>
      <c r="C36" s="326" t="s">
        <v>28</v>
      </c>
      <c r="I36" s="77"/>
      <c r="J36" s="77"/>
      <c r="K36" s="77"/>
      <c r="L36" s="77"/>
      <c r="M36" s="77"/>
    </row>
    <row r="37" spans="2:20" ht="33" customHeight="1" x14ac:dyDescent="0.35">
      <c r="B37" s="79"/>
      <c r="C37" s="317"/>
      <c r="I37" s="77"/>
      <c r="J37" s="77"/>
      <c r="K37" s="77"/>
      <c r="L37" s="77"/>
      <c r="M37" s="77"/>
      <c r="N37" s="83" t="s">
        <v>137</v>
      </c>
    </row>
    <row r="38" spans="2:20" ht="33" customHeight="1" thickBot="1" x14ac:dyDescent="0.25">
      <c r="B38" s="79"/>
      <c r="I38" s="77"/>
      <c r="J38" s="77"/>
      <c r="K38" s="77"/>
      <c r="L38" s="77"/>
      <c r="M38" s="77"/>
    </row>
    <row r="39" spans="2:20" ht="33" customHeight="1" x14ac:dyDescent="0.2">
      <c r="B39" s="548" t="s">
        <v>138</v>
      </c>
      <c r="C39" s="540" t="s">
        <v>107</v>
      </c>
      <c r="D39" s="540" t="s">
        <v>23</v>
      </c>
      <c r="E39" s="540" t="s">
        <v>108</v>
      </c>
      <c r="F39" s="540" t="str">
        <f>_xlfn.CONCAT("Exposure Estimates: ",$C$42," MOE")</f>
        <v>Exposure Estimates:  MOE</v>
      </c>
      <c r="G39" s="540"/>
      <c r="H39" s="540"/>
      <c r="I39" s="540"/>
      <c r="J39" s="540"/>
      <c r="K39" s="542"/>
      <c r="L39" s="90"/>
      <c r="M39" s="77"/>
      <c r="N39" s="532" t="s">
        <v>121</v>
      </c>
      <c r="O39" s="540" t="s">
        <v>23</v>
      </c>
      <c r="P39" s="540" t="s">
        <v>108</v>
      </c>
      <c r="Q39" s="540" t="str">
        <f>_xlfn.CONCAT("Exposure Estimates: ",$C$42," MOE")</f>
        <v>Exposure Estimates:  MOE</v>
      </c>
      <c r="R39" s="540"/>
      <c r="S39" s="540"/>
      <c r="T39" s="542"/>
    </row>
    <row r="40" spans="2:20" ht="33" customHeight="1" thickBot="1" x14ac:dyDescent="0.25">
      <c r="B40" s="549"/>
      <c r="C40" s="541"/>
      <c r="D40" s="541"/>
      <c r="E40" s="541"/>
      <c r="F40" s="416" t="s">
        <v>139</v>
      </c>
      <c r="G40" s="416" t="s">
        <v>34</v>
      </c>
      <c r="H40" s="416" t="s">
        <v>35</v>
      </c>
      <c r="I40" s="416" t="s">
        <v>32</v>
      </c>
      <c r="J40" s="416" t="s">
        <v>140</v>
      </c>
      <c r="K40" s="290" t="s">
        <v>31</v>
      </c>
      <c r="L40" s="90"/>
      <c r="M40" s="77"/>
      <c r="N40" s="533"/>
      <c r="O40" s="541"/>
      <c r="P40" s="541"/>
      <c r="Q40" s="318" t="s">
        <v>135</v>
      </c>
      <c r="R40" s="318" t="s">
        <v>33</v>
      </c>
      <c r="S40" s="318" t="s">
        <v>141</v>
      </c>
      <c r="T40" s="319" t="s">
        <v>142</v>
      </c>
    </row>
    <row r="41" spans="2:20" ht="33" customHeight="1" x14ac:dyDescent="0.2">
      <c r="B41" s="550" t="s">
        <v>143</v>
      </c>
      <c r="C41" s="555">
        <v>37.194773111428944</v>
      </c>
      <c r="D41" s="292" t="s">
        <v>103</v>
      </c>
      <c r="E41" s="421">
        <v>10</v>
      </c>
      <c r="F41" s="304">
        <f>IFERROR($C41/IF($C$36="Worker",$F$10,$F$11), "")</f>
        <v>194.94723032872344</v>
      </c>
      <c r="G41" s="305">
        <f>IFERROR($F41*'List Values'!$B$9, "")</f>
        <v>1949.4723032872344</v>
      </c>
      <c r="H41" s="305">
        <f>IFERROR($F41*'List Values'!$B$10, "")</f>
        <v>4873.6807582180863</v>
      </c>
      <c r="I41" s="305">
        <f>IFERROR($F41*'List Values'!$B$11, "")</f>
        <v>9747.3615164361727</v>
      </c>
      <c r="J41" s="305">
        <f>IFERROR($F41*'List Values'!$B$12, "")</f>
        <v>194947.23032872344</v>
      </c>
      <c r="K41" s="306">
        <f>IFERROR($F41*'List Values'!$B$13, "")</f>
        <v>1949472.3032872344</v>
      </c>
      <c r="L41" s="330"/>
      <c r="M41" s="77"/>
      <c r="N41" s="534">
        <v>17</v>
      </c>
      <c r="O41" s="292" t="s">
        <v>103</v>
      </c>
      <c r="P41" s="421">
        <v>30</v>
      </c>
      <c r="Q41" s="305">
        <f>IFERROR($N41/Q$10, "")</f>
        <v>85</v>
      </c>
      <c r="R41" s="305">
        <f>IFERROR($N41/$Q$12, "")</f>
        <v>425</v>
      </c>
      <c r="S41" s="305">
        <f>IFERROR($N41/$Q$14, "")</f>
        <v>850</v>
      </c>
      <c r="T41" s="306">
        <f>IFERROR($N41/$Q$16, "")</f>
        <v>1700</v>
      </c>
    </row>
    <row r="42" spans="2:20" ht="33" customHeight="1" thickBot="1" x14ac:dyDescent="0.25">
      <c r="B42" s="551"/>
      <c r="C42" s="556"/>
      <c r="D42" s="293" t="s">
        <v>27</v>
      </c>
      <c r="E42" s="418">
        <v>10</v>
      </c>
      <c r="F42" s="303">
        <f>IFERROR($C41/IF($C$36="Worker",$F$12,$F$13), "")</f>
        <v>891.74157276787287</v>
      </c>
      <c r="G42" s="303">
        <f>IFERROR($F42*'List Values'!$B$9, "")</f>
        <v>8917.4157276787282</v>
      </c>
      <c r="H42" s="303">
        <f>IFERROR($F42*'List Values'!$B$10, "")</f>
        <v>22293.539319196821</v>
      </c>
      <c r="I42" s="303">
        <f>IFERROR($F42*'List Values'!$B$11, "")</f>
        <v>44587.078638393643</v>
      </c>
      <c r="J42" s="303">
        <f>IFERROR($F42*'List Values'!$B$12, "")</f>
        <v>891741.57276787283</v>
      </c>
      <c r="K42" s="307">
        <f>IFERROR($F42*'List Values'!$B$13, "")</f>
        <v>8917415.7276787292</v>
      </c>
      <c r="L42" s="330"/>
      <c r="M42" s="77"/>
      <c r="N42" s="535"/>
      <c r="O42" s="293" t="s">
        <v>27</v>
      </c>
      <c r="P42" s="418">
        <v>30</v>
      </c>
      <c r="Q42" s="321">
        <f>IFERROR($N41/$Q$11, "")</f>
        <v>242.85714285714283</v>
      </c>
      <c r="R42" s="321">
        <f>IFERROR($N41/$Q$13, "")</f>
        <v>1214.2857142857142</v>
      </c>
      <c r="S42" s="321">
        <f>IFERROR($N41/$Q$15, "")</f>
        <v>2428.5714285714284</v>
      </c>
      <c r="T42" s="322">
        <f>IFERROR($N41/$Q$17, "")</f>
        <v>4857.1428571428569</v>
      </c>
    </row>
    <row r="43" spans="2:20" ht="33" customHeight="1" x14ac:dyDescent="0.2">
      <c r="B43" s="553" t="s">
        <v>145</v>
      </c>
      <c r="C43" s="555">
        <v>2.2730139123651023</v>
      </c>
      <c r="D43" s="292" t="s">
        <v>103</v>
      </c>
      <c r="E43" s="421">
        <v>30</v>
      </c>
      <c r="F43" s="304">
        <f>IFERROR($C43/IF($C$36="Worker",$G$10,$G$11), "")</f>
        <v>17.393625105996101</v>
      </c>
      <c r="G43" s="305">
        <f>IFERROR($F43*'List Values'!$B$9, "")</f>
        <v>173.93625105996102</v>
      </c>
      <c r="H43" s="305">
        <f>IFERROR($F43*'List Values'!$B$10, "")</f>
        <v>434.8406276499025</v>
      </c>
      <c r="I43" s="305">
        <f>IFERROR($F43*'List Values'!$B$11, "")</f>
        <v>869.681255299805</v>
      </c>
      <c r="J43" s="305">
        <f>IFERROR($F43*'List Values'!$B$12, "")</f>
        <v>17393.6251059961</v>
      </c>
      <c r="K43" s="306">
        <f>IFERROR($F43*'List Values'!$B$13, "")</f>
        <v>173936.25105996101</v>
      </c>
      <c r="L43" s="330"/>
      <c r="M43" s="77"/>
      <c r="N43" s="534">
        <v>1.7</v>
      </c>
      <c r="O43" s="292" t="s">
        <v>103</v>
      </c>
      <c r="P43" s="421">
        <v>30</v>
      </c>
      <c r="Q43" s="323">
        <f>IFERROR($N$43/$R$10, "")</f>
        <v>12.142857142857141</v>
      </c>
      <c r="R43" s="323">
        <f>IFERROR($N$43/$R$12, "")</f>
        <v>60.714285714285701</v>
      </c>
      <c r="S43" s="323">
        <f>IFERROR($N$43/$R$14, "")</f>
        <v>121.4285714285714</v>
      </c>
      <c r="T43" s="323">
        <f>IFERROR($N$43/$R$16, "")</f>
        <v>242.8571428571428</v>
      </c>
    </row>
    <row r="44" spans="2:20" ht="33" customHeight="1" thickBot="1" x14ac:dyDescent="0.25">
      <c r="B44" s="554"/>
      <c r="C44" s="556"/>
      <c r="D44" s="293" t="s">
        <v>27</v>
      </c>
      <c r="E44" s="418">
        <v>30</v>
      </c>
      <c r="F44" s="303">
        <f>IFERROR($C43/IF($C$36="Worker",$G$12,$G$13), "")</f>
        <v>79.563164770289106</v>
      </c>
      <c r="G44" s="303">
        <f>IFERROR($F44*'List Values'!$B$9, "")</f>
        <v>795.63164770289109</v>
      </c>
      <c r="H44" s="303">
        <f>IFERROR($F44*'List Values'!$B$10, "")</f>
        <v>1989.0791192572276</v>
      </c>
      <c r="I44" s="303">
        <f>IFERROR($F44*'List Values'!$B$11, "")</f>
        <v>3978.1582385144552</v>
      </c>
      <c r="J44" s="303">
        <f>IFERROR($F44*'List Values'!$B$12, "")</f>
        <v>79563.164770289106</v>
      </c>
      <c r="K44" s="307">
        <f>IFERROR($F44*'List Values'!$B$13, "")</f>
        <v>795631.64770289103</v>
      </c>
      <c r="L44" s="330"/>
      <c r="M44" s="77"/>
      <c r="N44" s="603"/>
      <c r="O44" s="320" t="s">
        <v>27</v>
      </c>
      <c r="P44" s="420">
        <v>30</v>
      </c>
      <c r="Q44" s="323">
        <f>IFERROR($N$43/$R$11, "")</f>
        <v>34</v>
      </c>
      <c r="R44" s="323">
        <f>IFERROR($N$43/$R$13, "")</f>
        <v>170</v>
      </c>
      <c r="S44" s="323">
        <f>IFERROR($N$43/$R$15, "")</f>
        <v>340</v>
      </c>
      <c r="T44" s="323">
        <f>IFERROR($N$43/$R$17, "")</f>
        <v>680</v>
      </c>
    </row>
    <row r="45" spans="2:20" ht="33" customHeight="1" x14ac:dyDescent="0.2">
      <c r="B45" s="294"/>
      <c r="C45" s="547" t="s">
        <v>146</v>
      </c>
      <c r="D45" s="530" t="s">
        <v>23</v>
      </c>
      <c r="E45" s="530" t="s">
        <v>108</v>
      </c>
      <c r="F45" s="530" t="str">
        <f>_xlfn.CONCAT("Exposure Estimates: ",$C$42," MOE")</f>
        <v>Exposure Estimates:  MOE</v>
      </c>
      <c r="G45" s="530"/>
      <c r="H45" s="530"/>
      <c r="I45" s="530"/>
      <c r="J45" s="530"/>
      <c r="K45" s="531"/>
      <c r="L45" s="90"/>
      <c r="M45" s="77"/>
      <c r="N45" s="532" t="s">
        <v>147</v>
      </c>
      <c r="O45" s="540" t="s">
        <v>23</v>
      </c>
      <c r="P45" s="540" t="s">
        <v>108</v>
      </c>
      <c r="Q45" s="540" t="str">
        <f>_xlfn.CONCAT("Exposure Estimates: ",$I$4," MOE")</f>
        <v>Exposure Estimates:  MOE</v>
      </c>
      <c r="R45" s="540"/>
      <c r="S45" s="540"/>
      <c r="T45" s="542"/>
    </row>
    <row r="46" spans="2:20" ht="33" customHeight="1" thickBot="1" x14ac:dyDescent="0.25">
      <c r="B46" s="294"/>
      <c r="C46" s="533"/>
      <c r="D46" s="541"/>
      <c r="E46" s="541"/>
      <c r="F46" s="416" t="s">
        <v>139</v>
      </c>
      <c r="G46" s="416" t="s">
        <v>34</v>
      </c>
      <c r="H46" s="416" t="s">
        <v>35</v>
      </c>
      <c r="I46" s="416" t="s">
        <v>32</v>
      </c>
      <c r="J46" s="416" t="s">
        <v>140</v>
      </c>
      <c r="K46" s="290" t="s">
        <v>31</v>
      </c>
      <c r="L46" s="90"/>
      <c r="M46" s="77"/>
      <c r="N46" s="533"/>
      <c r="O46" s="541"/>
      <c r="P46" s="541"/>
      <c r="Q46" s="318" t="s">
        <v>135</v>
      </c>
      <c r="R46" s="318" t="s">
        <v>33</v>
      </c>
      <c r="S46" s="318" t="s">
        <v>141</v>
      </c>
      <c r="T46" s="319" t="s">
        <v>142</v>
      </c>
    </row>
    <row r="47" spans="2:20" ht="33" customHeight="1" x14ac:dyDescent="0.2">
      <c r="B47" s="545" t="s">
        <v>148</v>
      </c>
      <c r="C47" s="599">
        <v>3.7747239263803682E-2</v>
      </c>
      <c r="D47" s="299" t="s">
        <v>103</v>
      </c>
      <c r="E47" s="334">
        <v>1E-4</v>
      </c>
      <c r="F47" s="340">
        <f>IFERROR($C47*IF($C$36="Worker",$H$10,$H$11), "")</f>
        <v>2.5296624327514048E-3</v>
      </c>
      <c r="G47" s="341">
        <f>IFERROR($F47/'List Values'!$B$9, "")</f>
        <v>2.5296624327514046E-4</v>
      </c>
      <c r="H47" s="341">
        <f>IFERROR($F47/'List Values'!$B$10, "")</f>
        <v>1.0118649731005619E-4</v>
      </c>
      <c r="I47" s="341">
        <f>IFERROR($F47/'List Values'!$B$11, "")</f>
        <v>5.0593248655028095E-5</v>
      </c>
      <c r="J47" s="341">
        <f>IFERROR($F47/'List Values'!$B$12, "")</f>
        <v>2.5296624327514048E-6</v>
      </c>
      <c r="K47" s="342">
        <f>IFERROR($F47/'List Values'!$B$13, "")</f>
        <v>2.5296624327514049E-7</v>
      </c>
      <c r="L47" s="333"/>
      <c r="M47" s="77"/>
      <c r="N47" s="600">
        <v>0.05</v>
      </c>
      <c r="O47" s="299" t="s">
        <v>103</v>
      </c>
      <c r="P47" s="601">
        <v>1E-4</v>
      </c>
      <c r="Q47" s="301">
        <f>IFERROR($N$47*$S10, "")</f>
        <v>3.0000000000000001E-3</v>
      </c>
      <c r="R47" s="301">
        <f>IFERROR($N$47*$S12, "")</f>
        <v>6.0000000000000006E-4</v>
      </c>
      <c r="S47" s="301">
        <f>IFERROR($N$47*$S14, "")</f>
        <v>3.0000000000000003E-4</v>
      </c>
      <c r="T47" s="301">
        <f>IFERROR($N$47*$S16, "")</f>
        <v>1.5000000000000001E-4</v>
      </c>
    </row>
    <row r="48" spans="2:20" ht="33" customHeight="1" thickBot="1" x14ac:dyDescent="0.25">
      <c r="B48" s="546"/>
      <c r="C48" s="544"/>
      <c r="D48" s="293" t="s">
        <v>27</v>
      </c>
      <c r="E48" s="335">
        <v>1E-4</v>
      </c>
      <c r="F48" s="337">
        <f>IFERROR($C47*IF($C$36="Worker",$H$12,$H$13), "")</f>
        <v>4.2859029173175633E-4</v>
      </c>
      <c r="G48" s="338">
        <f>IFERROR($F48/'List Values'!$B$9, "")</f>
        <v>4.2859029173175632E-5</v>
      </c>
      <c r="H48" s="338">
        <f>IFERROR($F48/'List Values'!$B$10, "")</f>
        <v>1.7143611669270252E-5</v>
      </c>
      <c r="I48" s="338">
        <f>IFERROR($F48/'List Values'!$B$11, "")</f>
        <v>8.5718058346351261E-6</v>
      </c>
      <c r="J48" s="338">
        <f>IFERROR($F48/'List Values'!$B$12, "")</f>
        <v>4.2859029173175631E-7</v>
      </c>
      <c r="K48" s="339">
        <f>IFERROR($F48/'List Values'!$B$13, "")</f>
        <v>4.2859029173175634E-8</v>
      </c>
      <c r="L48" s="333"/>
      <c r="M48" s="77"/>
      <c r="N48" s="564"/>
      <c r="O48" s="293" t="s">
        <v>27</v>
      </c>
      <c r="P48" s="602"/>
      <c r="Q48" s="321">
        <f>IFERROR($N$47*$S11, "")</f>
        <v>1E-3</v>
      </c>
      <c r="R48" s="321">
        <f>IFERROR($N$47*$S13, "")</f>
        <v>2.0000000000000001E-4</v>
      </c>
      <c r="S48" s="321">
        <f>IFERROR($N$47*$S15, "")</f>
        <v>1E-4</v>
      </c>
      <c r="T48" s="321">
        <f>IFERROR($N$47*$S17, "")</f>
        <v>5.0000000000000002E-5</v>
      </c>
    </row>
    <row r="49" spans="2:19" ht="33" customHeight="1" x14ac:dyDescent="0.2">
      <c r="B49" s="79"/>
      <c r="M49" s="77"/>
    </row>
    <row r="50" spans="2:19" ht="33" customHeight="1" x14ac:dyDescent="0.2">
      <c r="B50" s="79"/>
      <c r="M50" s="77"/>
    </row>
    <row r="51" spans="2:19" ht="33" customHeight="1" x14ac:dyDescent="0.2">
      <c r="B51" s="79"/>
      <c r="M51" s="77"/>
    </row>
    <row r="52" spans="2:19" ht="33" customHeight="1" x14ac:dyDescent="0.2">
      <c r="B52" s="79"/>
      <c r="M52" s="77"/>
    </row>
    <row r="53" spans="2:19" ht="33" customHeight="1" x14ac:dyDescent="0.2">
      <c r="B53" s="79"/>
      <c r="M53" s="77"/>
    </row>
    <row r="54" spans="2:19" ht="33" customHeight="1" x14ac:dyDescent="0.2">
      <c r="B54" s="79"/>
      <c r="M54" s="77"/>
    </row>
    <row r="55" spans="2:19" s="85" customFormat="1" ht="21" x14ac:dyDescent="0.35">
      <c r="C55" s="66"/>
      <c r="D55" s="66"/>
      <c r="E55" s="66"/>
      <c r="F55" s="66"/>
      <c r="G55" s="66"/>
      <c r="H55" s="66"/>
      <c r="I55" s="66"/>
      <c r="J55" s="66"/>
      <c r="K55" s="66"/>
      <c r="L55" s="66"/>
      <c r="N55" s="66"/>
      <c r="O55" s="66"/>
      <c r="P55" s="66"/>
      <c r="Q55" s="66"/>
      <c r="R55" s="66"/>
      <c r="S55" s="66"/>
    </row>
    <row r="56" spans="2:19" ht="25.5" customHeight="1" x14ac:dyDescent="0.2">
      <c r="B56" s="82"/>
      <c r="M56" s="90"/>
    </row>
    <row r="57" spans="2:19" ht="14.45" customHeight="1" x14ac:dyDescent="0.2">
      <c r="B57" s="82"/>
      <c r="M57" s="90"/>
    </row>
    <row r="58" spans="2:19" x14ac:dyDescent="0.2">
      <c r="B58" s="82"/>
      <c r="M58" s="89"/>
    </row>
    <row r="59" spans="2:19" ht="21" x14ac:dyDescent="0.35">
      <c r="B59" s="82"/>
      <c r="M59" s="89"/>
      <c r="N59" s="85"/>
    </row>
    <row r="63" spans="2:19" ht="29.1" customHeight="1" x14ac:dyDescent="0.2"/>
  </sheetData>
  <sheetProtection sheet="1" objects="1" scenarios="1" formatCells="0" formatColumns="0" formatRows="0"/>
  <mergeCells count="76">
    <mergeCell ref="C8:C9"/>
    <mergeCell ref="D8:D9"/>
    <mergeCell ref="N8:N9"/>
    <mergeCell ref="O8:O9"/>
    <mergeCell ref="D10:D11"/>
    <mergeCell ref="N10:N11"/>
    <mergeCell ref="Q20:Q21"/>
    <mergeCell ref="D12:D13"/>
    <mergeCell ref="N12:N13"/>
    <mergeCell ref="N14:N15"/>
    <mergeCell ref="C16:C17"/>
    <mergeCell ref="D16:D17"/>
    <mergeCell ref="E16:E17"/>
    <mergeCell ref="F16:F17"/>
    <mergeCell ref="G16:H16"/>
    <mergeCell ref="N16:N17"/>
    <mergeCell ref="C18:C19"/>
    <mergeCell ref="D18:D19"/>
    <mergeCell ref="N20:N21"/>
    <mergeCell ref="O20:O21"/>
    <mergeCell ref="P20:P21"/>
    <mergeCell ref="O22:O23"/>
    <mergeCell ref="C24:C25"/>
    <mergeCell ref="D24:D25"/>
    <mergeCell ref="N26:N27"/>
    <mergeCell ref="O26:O27"/>
    <mergeCell ref="C22:C23"/>
    <mergeCell ref="D22:D23"/>
    <mergeCell ref="E22:E23"/>
    <mergeCell ref="F22:F23"/>
    <mergeCell ref="G22:H22"/>
    <mergeCell ref="N22:N23"/>
    <mergeCell ref="Q32:Q33"/>
    <mergeCell ref="Q26:Q27"/>
    <mergeCell ref="C28:C29"/>
    <mergeCell ref="D28:D29"/>
    <mergeCell ref="E28:E29"/>
    <mergeCell ref="F28:F29"/>
    <mergeCell ref="G28:H28"/>
    <mergeCell ref="N28:N29"/>
    <mergeCell ref="O28:O29"/>
    <mergeCell ref="P26:P27"/>
    <mergeCell ref="C30:C31"/>
    <mergeCell ref="D30:D31"/>
    <mergeCell ref="N32:N33"/>
    <mergeCell ref="O32:O33"/>
    <mergeCell ref="P32:P33"/>
    <mergeCell ref="B43:B44"/>
    <mergeCell ref="C43:C44"/>
    <mergeCell ref="N43:N44"/>
    <mergeCell ref="N34:N35"/>
    <mergeCell ref="O34:O35"/>
    <mergeCell ref="B39:B40"/>
    <mergeCell ref="C39:C40"/>
    <mergeCell ref="D39:D40"/>
    <mergeCell ref="E39:E40"/>
    <mergeCell ref="F39:K39"/>
    <mergeCell ref="N39:N40"/>
    <mergeCell ref="O39:O40"/>
    <mergeCell ref="P39:P40"/>
    <mergeCell ref="Q39:T39"/>
    <mergeCell ref="B41:B42"/>
    <mergeCell ref="C41:C42"/>
    <mergeCell ref="N41:N42"/>
    <mergeCell ref="P45:P46"/>
    <mergeCell ref="Q45:T45"/>
    <mergeCell ref="B47:B48"/>
    <mergeCell ref="C47:C48"/>
    <mergeCell ref="N47:N48"/>
    <mergeCell ref="P47:P48"/>
    <mergeCell ref="C45:C46"/>
    <mergeCell ref="D45:D46"/>
    <mergeCell ref="E45:E46"/>
    <mergeCell ref="F45:K45"/>
    <mergeCell ref="N45:N46"/>
    <mergeCell ref="O45:O46"/>
  </mergeCells>
  <conditionalFormatting sqref="E10:L13">
    <cfRule type="cellIs" dxfId="411" priority="86" operator="lessThanOrEqual">
      <formula>0.1</formula>
    </cfRule>
    <cfRule type="cellIs" dxfId="410" priority="85" operator="between">
      <formula>0.1</formula>
      <formula>0.999</formula>
    </cfRule>
    <cfRule type="cellIs" dxfId="409" priority="84" operator="between">
      <formula>1</formula>
      <formula>9.999</formula>
    </cfRule>
    <cfRule type="cellIs" dxfId="408" priority="83" operator="greaterThanOrEqual">
      <formula>10</formula>
    </cfRule>
    <cfRule type="cellIs" dxfId="407" priority="82" operator="greaterThanOrEqual">
      <formula>10000</formula>
    </cfRule>
    <cfRule type="cellIs" dxfId="406" priority="93" operator="greaterThan">
      <formula>10000</formula>
    </cfRule>
    <cfRule type="cellIs" dxfId="405" priority="92" operator="greaterThan">
      <formula>10</formula>
    </cfRule>
    <cfRule type="cellIs" dxfId="404" priority="91" operator="between">
      <formula>1</formula>
      <formula>10</formula>
    </cfRule>
    <cfRule type="cellIs" dxfId="403" priority="90" operator="between">
      <formula>0.1</formula>
      <formula>0.999</formula>
    </cfRule>
    <cfRule type="cellIs" dxfId="402" priority="89" operator="lessThan">
      <formula>0.1</formula>
    </cfRule>
    <cfRule type="cellIs" dxfId="401" priority="88" operator="equal">
      <formula>0</formula>
    </cfRule>
    <cfRule type="containsBlanks" dxfId="400" priority="87" stopIfTrue="1">
      <formula>LEN(TRIM(E10))=0</formula>
    </cfRule>
  </conditionalFormatting>
  <conditionalFormatting sqref="F41:F44 L41:L44">
    <cfRule type="cellIs" dxfId="399" priority="72" operator="lessThan">
      <formula>$E$43</formula>
    </cfRule>
  </conditionalFormatting>
  <conditionalFormatting sqref="F47">
    <cfRule type="cellIs" dxfId="398" priority="81" operator="greaterThanOrEqual">
      <formula>0.0001</formula>
    </cfRule>
    <cfRule type="containsBlanks" dxfId="397" priority="80" stopIfTrue="1">
      <formula>LEN(TRIM(F47))=0</formula>
    </cfRule>
  </conditionalFormatting>
  <conditionalFormatting sqref="F47:F48">
    <cfRule type="cellIs" dxfId="396" priority="34" operator="between">
      <formula>1</formula>
      <formula>9.999</formula>
    </cfRule>
    <cfRule type="cellIs" dxfId="395" priority="35" operator="between">
      <formula>0.1</formula>
      <formula>0.999</formula>
    </cfRule>
    <cfRule type="cellIs" dxfId="394" priority="76" operator="greaterThanOrEqual">
      <formula>10</formula>
    </cfRule>
    <cfRule type="cellIs" dxfId="393" priority="75" operator="greaterThanOrEqual">
      <formula>10000</formula>
    </cfRule>
  </conditionalFormatting>
  <conditionalFormatting sqref="F48">
    <cfRule type="cellIs" dxfId="392" priority="37" operator="greaterThanOrEqual">
      <formula>0.0001</formula>
    </cfRule>
    <cfRule type="containsBlanks" dxfId="391" priority="36" stopIfTrue="1">
      <formula>LEN(TRIM(F48))=0</formula>
    </cfRule>
    <cfRule type="cellIs" dxfId="390" priority="79" operator="lessThanOrEqual">
      <formula>0.1</formula>
    </cfRule>
  </conditionalFormatting>
  <conditionalFormatting sqref="F41:L42">
    <cfRule type="cellIs" dxfId="389" priority="20" operator="greaterThanOrEqual">
      <formula>$E$41</formula>
    </cfRule>
  </conditionalFormatting>
  <conditionalFormatting sqref="F41:L44">
    <cfRule type="cellIs" dxfId="388" priority="12" operator="greaterThanOrEqual">
      <formula>10000</formula>
    </cfRule>
    <cfRule type="cellIs" dxfId="387" priority="13" operator="greaterThanOrEqual">
      <formula>10</formula>
    </cfRule>
    <cfRule type="cellIs" dxfId="386" priority="14" operator="between">
      <formula>1</formula>
      <formula>9.999</formula>
    </cfRule>
    <cfRule type="cellIs" dxfId="385" priority="15" operator="between">
      <formula>0.1</formula>
      <formula>0.999</formula>
    </cfRule>
    <cfRule type="cellIs" dxfId="384" priority="16" operator="lessThanOrEqual">
      <formula>0.1</formula>
    </cfRule>
    <cfRule type="containsBlanks" dxfId="383" priority="17" stopIfTrue="1">
      <formula>LEN(TRIM(F41))=0</formula>
    </cfRule>
  </conditionalFormatting>
  <conditionalFormatting sqref="F43:L44">
    <cfRule type="cellIs" dxfId="382" priority="18" operator="greaterThanOrEqual">
      <formula>$E$43</formula>
    </cfRule>
  </conditionalFormatting>
  <conditionalFormatting sqref="G41:K42">
    <cfRule type="cellIs" dxfId="381" priority="21" operator="lessThan">
      <formula>$E$43</formula>
    </cfRule>
  </conditionalFormatting>
  <conditionalFormatting sqref="G43:K44">
    <cfRule type="cellIs" dxfId="380" priority="19" operator="lessThan">
      <formula>$E$43</formula>
    </cfRule>
  </conditionalFormatting>
  <conditionalFormatting sqref="G48:K48">
    <cfRule type="cellIs" dxfId="379" priority="2" operator="between">
      <formula>0.1</formula>
      <formula>0.999</formula>
    </cfRule>
    <cfRule type="containsBlanks" dxfId="378" priority="3" stopIfTrue="1">
      <formula>LEN(TRIM(G48))=0</formula>
    </cfRule>
    <cfRule type="cellIs" dxfId="377" priority="4" operator="greaterThanOrEqual">
      <formula>0.0001</formula>
    </cfRule>
    <cfRule type="cellIs" dxfId="376" priority="1" operator="between">
      <formula>1</formula>
      <formula>9.999</formula>
    </cfRule>
  </conditionalFormatting>
  <conditionalFormatting sqref="G18:L19 G24:L25">
    <cfRule type="cellIs" dxfId="375" priority="115" operator="lessThan">
      <formula>$F18</formula>
    </cfRule>
    <cfRule type="containsBlanks" dxfId="374" priority="114" stopIfTrue="1">
      <formula>LEN(TRIM(G18))=0</formula>
    </cfRule>
    <cfRule type="cellIs" dxfId="373" priority="113" operator="lessThanOrEqual">
      <formula>0.1</formula>
    </cfRule>
    <cfRule type="cellIs" dxfId="372" priority="112" operator="between">
      <formula>0.1</formula>
      <formula>0.999</formula>
    </cfRule>
    <cfRule type="cellIs" dxfId="371" priority="111" operator="between">
      <formula>1</formula>
      <formula>9.999</formula>
    </cfRule>
    <cfRule type="cellIs" dxfId="370" priority="110" operator="greaterThanOrEqual">
      <formula>10</formula>
    </cfRule>
    <cfRule type="cellIs" dxfId="369" priority="109" operator="greaterThanOrEqual">
      <formula>10000</formula>
    </cfRule>
  </conditionalFormatting>
  <conditionalFormatting sqref="G30:L31 R34:R35">
    <cfRule type="cellIs" dxfId="368" priority="108" operator="greaterThan">
      <formula>0.0001</formula>
    </cfRule>
  </conditionalFormatting>
  <conditionalFormatting sqref="G30:L31">
    <cfRule type="cellIs" dxfId="367" priority="101" operator="greaterThanOrEqual">
      <formula>10000</formula>
    </cfRule>
    <cfRule type="cellIs" dxfId="366" priority="103" operator="between">
      <formula>1</formula>
      <formula>9.999</formula>
    </cfRule>
    <cfRule type="cellIs" dxfId="365" priority="102" operator="greaterThanOrEqual">
      <formula>10</formula>
    </cfRule>
    <cfRule type="cellIs" dxfId="364" priority="104" operator="between">
      <formula>0.1</formula>
      <formula>0.999</formula>
    </cfRule>
    <cfRule type="cellIs" dxfId="363" priority="107" operator="equal">
      <formula>0</formula>
    </cfRule>
    <cfRule type="containsBlanks" dxfId="362" priority="106" stopIfTrue="1">
      <formula>LEN(TRIM(G30))=0</formula>
    </cfRule>
    <cfRule type="cellIs" dxfId="361" priority="105" operator="lessThanOrEqual">
      <formula>0.1</formula>
    </cfRule>
  </conditionalFormatting>
  <conditionalFormatting sqref="G47:L47">
    <cfRule type="cellIs" dxfId="360" priority="7" operator="between">
      <formula>1</formula>
      <formula>9.999</formula>
    </cfRule>
    <cfRule type="cellIs" dxfId="359" priority="8" operator="between">
      <formula>0.1</formula>
      <formula>0.999</formula>
    </cfRule>
    <cfRule type="containsBlanks" dxfId="358" priority="10" stopIfTrue="1">
      <formula>LEN(TRIM(G47))=0</formula>
    </cfRule>
    <cfRule type="cellIs" dxfId="357" priority="11" operator="greaterThanOrEqual">
      <formula>0.0001</formula>
    </cfRule>
  </conditionalFormatting>
  <conditionalFormatting sqref="G47:L48">
    <cfRule type="cellIs" dxfId="356" priority="5" operator="greaterThanOrEqual">
      <formula>10000</formula>
    </cfRule>
    <cfRule type="cellIs" dxfId="355" priority="6" operator="greaterThanOrEqual">
      <formula>10</formula>
    </cfRule>
  </conditionalFormatting>
  <conditionalFormatting sqref="G48:L48">
    <cfRule type="cellIs" dxfId="354" priority="9" operator="lessThanOrEqual">
      <formula>0.1</formula>
    </cfRule>
  </conditionalFormatting>
  <conditionalFormatting sqref="P10:S17">
    <cfRule type="cellIs" dxfId="353" priority="23" operator="greaterThanOrEqual">
      <formula>10</formula>
    </cfRule>
    <cfRule type="cellIs" dxfId="352" priority="24" operator="between">
      <formula>1</formula>
      <formula>9.999</formula>
    </cfRule>
    <cfRule type="cellIs" dxfId="351" priority="25" operator="between">
      <formula>0.1</formula>
      <formula>0.999</formula>
    </cfRule>
    <cfRule type="cellIs" dxfId="350" priority="31" operator="between">
      <formula>1</formula>
      <formula>10</formula>
    </cfRule>
    <cfRule type="cellIs" dxfId="349" priority="33" operator="greaterThan">
      <formula>10000</formula>
    </cfRule>
    <cfRule type="cellIs" dxfId="348" priority="32" operator="greaterThan">
      <formula>10</formula>
    </cfRule>
    <cfRule type="cellIs" dxfId="347" priority="22" operator="greaterThanOrEqual">
      <formula>10000</formula>
    </cfRule>
    <cfRule type="cellIs" dxfId="346" priority="30" operator="between">
      <formula>0.1</formula>
      <formula>0.999</formula>
    </cfRule>
    <cfRule type="cellIs" dxfId="345" priority="29" operator="lessThan">
      <formula>0.1</formula>
    </cfRule>
    <cfRule type="cellIs" dxfId="344" priority="28" operator="equal">
      <formula>0</formula>
    </cfRule>
    <cfRule type="containsBlanks" dxfId="343" priority="27" stopIfTrue="1">
      <formula>LEN(TRIM(P10))=0</formula>
    </cfRule>
    <cfRule type="cellIs" dxfId="342" priority="26" operator="lessThanOrEqual">
      <formula>0.1</formula>
    </cfRule>
  </conditionalFormatting>
  <conditionalFormatting sqref="Q41:T42">
    <cfRule type="cellIs" dxfId="341" priority="52" operator="lessThan">
      <formula>$P$41</formula>
    </cfRule>
    <cfRule type="cellIs" dxfId="340" priority="51" operator="greaterThanOrEqual">
      <formula>$P$41</formula>
    </cfRule>
  </conditionalFormatting>
  <conditionalFormatting sqref="Q41:T44">
    <cfRule type="cellIs" dxfId="339" priority="38" operator="between">
      <formula>1</formula>
      <formula>9.999</formula>
    </cfRule>
    <cfRule type="cellIs" dxfId="338" priority="39" operator="between">
      <formula>0.1</formula>
      <formula>0.999</formula>
    </cfRule>
    <cfRule type="containsBlanks" dxfId="337" priority="40" stopIfTrue="1">
      <formula>LEN(TRIM(Q41))=0</formula>
    </cfRule>
    <cfRule type="cellIs" dxfId="336" priority="41" operator="greaterThanOrEqual">
      <formula>10000</formula>
    </cfRule>
    <cfRule type="cellIs" dxfId="335" priority="42" operator="greaterThanOrEqual">
      <formula>10</formula>
    </cfRule>
    <cfRule type="cellIs" dxfId="334" priority="43" operator="lessThanOrEqual">
      <formula>0.1</formula>
    </cfRule>
  </conditionalFormatting>
  <conditionalFormatting sqref="Q43:T44">
    <cfRule type="cellIs" dxfId="333" priority="44" operator="greaterThanOrEqual">
      <formula>$P$43</formula>
    </cfRule>
    <cfRule type="cellIs" dxfId="332" priority="45" operator="lessThan">
      <formula>$P$43</formula>
    </cfRule>
  </conditionalFormatting>
  <conditionalFormatting sqref="Q47:T48">
    <cfRule type="cellIs" dxfId="331" priority="47" operator="between">
      <formula>1</formula>
      <formula>100</formula>
    </cfRule>
    <cfRule type="cellIs" dxfId="330" priority="46" operator="greaterThan">
      <formula>100</formula>
    </cfRule>
    <cfRule type="cellIs" dxfId="329" priority="50" operator="greaterThanOrEqual">
      <formula>0.0001</formula>
    </cfRule>
    <cfRule type="containsBlanks" dxfId="328" priority="49" stopIfTrue="1">
      <formula>LEN(TRIM(Q47))=0</formula>
    </cfRule>
    <cfRule type="cellIs" dxfId="327" priority="48" operator="lessThanOrEqual">
      <formula>0.1</formula>
    </cfRule>
  </conditionalFormatting>
  <conditionalFormatting sqref="R22:R23 R28:R29">
    <cfRule type="cellIs" dxfId="326" priority="94" operator="greaterThanOrEqual">
      <formula>10000</formula>
    </cfRule>
    <cfRule type="cellIs" dxfId="325" priority="95" operator="greaterThanOrEqual">
      <formula>10</formula>
    </cfRule>
    <cfRule type="cellIs" dxfId="324" priority="96" operator="between">
      <formula>1</formula>
      <formula>9.999</formula>
    </cfRule>
    <cfRule type="cellIs" dxfId="323" priority="97" operator="between">
      <formula>0.1</formula>
      <formula>0.999</formula>
    </cfRule>
    <cfRule type="cellIs" dxfId="322" priority="98" operator="lessThanOrEqual">
      <formula>0.1</formula>
    </cfRule>
    <cfRule type="containsBlanks" dxfId="321" priority="99" stopIfTrue="1">
      <formula>LEN(TRIM(R22))=0</formula>
    </cfRule>
    <cfRule type="cellIs" dxfId="320" priority="100" operator="lessThan">
      <formula>$Q22</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3369-D015-4A2E-A82D-7CCEC225FF10}">
  <dimension ref="B1:U63"/>
  <sheetViews>
    <sheetView topLeftCell="F1" workbookViewId="0">
      <selection activeCell="S9" sqref="S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12" width="15.85546875" style="66" customWidth="1"/>
    <col min="13" max="13" width="12.85546875" style="66" customWidth="1"/>
    <col min="14" max="14" width="26.5703125" style="66" customWidth="1"/>
    <col min="15" max="15" width="28.42578125" style="66" customWidth="1"/>
    <col min="16" max="19" width="14.85546875" style="66" customWidth="1"/>
    <col min="20" max="21" width="13.5703125" style="66" customWidth="1"/>
    <col min="22" max="16384" width="8.7109375" style="66"/>
  </cols>
  <sheetData>
    <row r="1" spans="2:21" ht="21" x14ac:dyDescent="0.35">
      <c r="C1" s="83"/>
    </row>
    <row r="2" spans="2:21" ht="21" x14ac:dyDescent="0.35">
      <c r="C2" s="83" t="s">
        <v>462</v>
      </c>
      <c r="M2" s="68"/>
      <c r="T2" s="67"/>
    </row>
    <row r="3" spans="2:21" ht="15.75" x14ac:dyDescent="0.25">
      <c r="C3" s="67"/>
      <c r="M3" s="68"/>
      <c r="T3" s="67"/>
    </row>
    <row r="4" spans="2:21" ht="21" x14ac:dyDescent="0.35">
      <c r="C4" s="84" t="s">
        <v>83</v>
      </c>
      <c r="D4" s="85"/>
      <c r="E4" s="85"/>
      <c r="F4" s="85"/>
      <c r="G4" s="85"/>
      <c r="H4" s="85"/>
      <c r="I4" s="85"/>
      <c r="J4" s="85"/>
      <c r="K4" s="85"/>
      <c r="L4" s="85"/>
      <c r="N4" s="84" t="s">
        <v>29</v>
      </c>
      <c r="T4" s="67"/>
    </row>
    <row r="5" spans="2:21" ht="21" x14ac:dyDescent="0.35">
      <c r="C5" s="85"/>
      <c r="D5" s="85"/>
      <c r="E5" s="85"/>
      <c r="F5" s="85"/>
      <c r="G5" s="85"/>
      <c r="H5" s="85"/>
      <c r="I5" s="85"/>
      <c r="J5" s="85"/>
      <c r="K5" s="85"/>
      <c r="L5" s="85"/>
      <c r="N5" s="83"/>
      <c r="T5" s="67"/>
    </row>
    <row r="6" spans="2:21" ht="21" x14ac:dyDescent="0.35">
      <c r="C6" s="83" t="s">
        <v>84</v>
      </c>
      <c r="D6" s="85"/>
      <c r="E6" s="85"/>
      <c r="F6" s="85"/>
      <c r="G6" s="85"/>
      <c r="H6" s="85"/>
      <c r="I6" s="85"/>
      <c r="J6" s="85"/>
      <c r="K6" s="85"/>
      <c r="L6" s="85"/>
      <c r="N6" s="83" t="s">
        <v>84</v>
      </c>
      <c r="T6" s="67"/>
    </row>
    <row r="7" spans="2:21" ht="15.75" x14ac:dyDescent="0.25">
      <c r="C7" s="67"/>
      <c r="M7" s="68"/>
      <c r="T7" s="67"/>
    </row>
    <row r="8" spans="2:21" ht="38.25" x14ac:dyDescent="0.25">
      <c r="C8" s="592" t="s">
        <v>85</v>
      </c>
      <c r="D8" s="593" t="s">
        <v>23</v>
      </c>
      <c r="E8" s="411" t="s">
        <v>86</v>
      </c>
      <c r="F8" s="411" t="s">
        <v>87</v>
      </c>
      <c r="G8" s="411" t="s">
        <v>89</v>
      </c>
      <c r="H8" s="411" t="s">
        <v>90</v>
      </c>
      <c r="I8" s="291"/>
      <c r="J8" s="291"/>
      <c r="K8" s="291"/>
      <c r="L8" s="291"/>
      <c r="M8" s="1"/>
      <c r="N8" s="592" t="s">
        <v>85</v>
      </c>
      <c r="O8" s="592" t="s">
        <v>23</v>
      </c>
      <c r="P8" s="411" t="s">
        <v>91</v>
      </c>
      <c r="Q8" s="411" t="s">
        <v>92</v>
      </c>
      <c r="R8" s="411" t="s">
        <v>94</v>
      </c>
      <c r="S8" s="411" t="s">
        <v>95</v>
      </c>
      <c r="U8" s="67"/>
    </row>
    <row r="9" spans="2:21" ht="27" x14ac:dyDescent="0.25">
      <c r="C9" s="592"/>
      <c r="D9" s="593"/>
      <c r="E9" s="411" t="s">
        <v>192</v>
      </c>
      <c r="F9" s="411" t="s">
        <v>193</v>
      </c>
      <c r="G9" s="411" t="s">
        <v>194</v>
      </c>
      <c r="H9" s="411" t="s">
        <v>195</v>
      </c>
      <c r="I9" s="291"/>
      <c r="J9" s="291"/>
      <c r="K9" s="291"/>
      <c r="L9" s="291"/>
      <c r="M9" s="1"/>
      <c r="N9" s="592"/>
      <c r="O9" s="592"/>
      <c r="P9" s="411" t="s">
        <v>100</v>
      </c>
      <c r="Q9" s="411" t="s">
        <v>196</v>
      </c>
      <c r="R9" s="411" t="s">
        <v>197</v>
      </c>
      <c r="S9" s="411" t="s">
        <v>510</v>
      </c>
      <c r="U9" s="67"/>
    </row>
    <row r="10" spans="2:21" ht="15.75" x14ac:dyDescent="0.25">
      <c r="C10" s="88" t="s">
        <v>30</v>
      </c>
      <c r="D10" s="594" t="s">
        <v>103</v>
      </c>
      <c r="E10" s="316">
        <f>'Inhalation Exposures'!I72</f>
        <v>0.417015118751486</v>
      </c>
      <c r="F10" s="316">
        <f>'Inhalation Exposures'!K72</f>
        <v>0.28368375425271158</v>
      </c>
      <c r="G10" s="316">
        <f>'Inhalation Exposures'!O72</f>
        <v>0.19430394126898051</v>
      </c>
      <c r="H10" s="316">
        <f>'Inhalation Exposures'!Q72</f>
        <v>9.9643046804605395E-2</v>
      </c>
      <c r="I10" s="329"/>
      <c r="J10" s="329"/>
      <c r="K10" s="329"/>
      <c r="L10" s="329"/>
      <c r="M10" s="1"/>
      <c r="N10" s="595" t="s">
        <v>104</v>
      </c>
      <c r="O10" s="72" t="s">
        <v>103</v>
      </c>
      <c r="P10" s="316">
        <f>IFERROR(INDEX('Dermal Exposures'!$J$33:$J$34, MATCH(CTC_operator!$C$2, 'Dermal Exposures'!$A$33:$A$34, 0)), "")</f>
        <v>15.95</v>
      </c>
      <c r="Q10" s="316">
        <f>IFERROR(INDEX('Dermal Exposures'!$K$33:$K$34, MATCH(CTC_operator!$C$2, 'Dermal Exposures'!$A$33:$A$34, 0)), "")</f>
        <v>0.2</v>
      </c>
      <c r="R10" s="316">
        <f>IFERROR(INDEX('Dermal Exposures'!$M$33:$M$34, MATCH(CTC_operator!$C$2, 'Dermal Exposures'!$A$33:$A$34, 0)), "")</f>
        <v>0.14000000000000001</v>
      </c>
      <c r="S10" s="316">
        <f>IFERROR(INDEX('Dermal Exposures'!$N$33:$N$34, MATCH(CTC_operator!$C$2, 'Dermal Exposures'!$A$33:$A$34, 0)), "")</f>
        <v>0.06</v>
      </c>
      <c r="U10" s="67"/>
    </row>
    <row r="11" spans="2:21" ht="15.75" x14ac:dyDescent="0.25">
      <c r="C11" s="88" t="s">
        <v>28</v>
      </c>
      <c r="D11" s="594"/>
      <c r="E11" s="316">
        <f>'Inhalation Exposures'!I81</f>
        <v>0.28046726481624995</v>
      </c>
      <c r="F11" s="316">
        <f>'Inhalation Exposures'!K81</f>
        <v>0.19079405769812921</v>
      </c>
      <c r="G11" s="316">
        <f>'Inhalation Exposures'!O81</f>
        <v>0.13068086143707483</v>
      </c>
      <c r="H11" s="316">
        <f>'Inhalation Exposures'!Q81</f>
        <v>6.7015826377987087E-2</v>
      </c>
      <c r="I11" s="329"/>
      <c r="J11" s="329"/>
      <c r="K11" s="329"/>
      <c r="L11" s="329"/>
      <c r="M11" s="1"/>
      <c r="N11" s="595"/>
      <c r="O11" s="72" t="s">
        <v>27</v>
      </c>
      <c r="P11" s="316">
        <f>IFERROR(INDEX('Dermal Exposures'!$O$33:$O$34, MATCH(CTC_operator!$C$2, 'Dermal Exposures'!$A$33:$A$34, 0)), "")</f>
        <v>5.96</v>
      </c>
      <c r="Q11" s="316">
        <f>IFERROR(INDEX('Dermal Exposures'!$P$33:$P$34, MATCH(CTC_operator!$C$2, 'Dermal Exposures'!$A$33:$A$34, 0)), "")</f>
        <v>7.0000000000000007E-2</v>
      </c>
      <c r="R11" s="316">
        <f>IFERROR(INDEX('Dermal Exposures'!$R$33:$R$34, MATCH(CTC_operator!$C$2, 'Dermal Exposures'!$A$33:$A$34, 0)), "")</f>
        <v>0.05</v>
      </c>
      <c r="S11" s="316">
        <f>IFERROR(INDEX('Dermal Exposures'!$S$33:$S$34, MATCH(CTC_operator!$C$2, 'Dermal Exposures'!$A$33:$A$34, 0)), "")</f>
        <v>0.02</v>
      </c>
      <c r="U11" s="67"/>
    </row>
    <row r="12" spans="2:21" ht="15.75" x14ac:dyDescent="0.25">
      <c r="C12" s="88" t="s">
        <v>30</v>
      </c>
      <c r="D12" s="591" t="s">
        <v>27</v>
      </c>
      <c r="E12" s="316">
        <f>'Inhalation Exposures'!J72</f>
        <v>9.1045635396878891E-2</v>
      </c>
      <c r="F12" s="316">
        <f>'Inhalation Exposures'!L72</f>
        <v>6.1935806392434616E-2</v>
      </c>
      <c r="G12" s="316">
        <f>'Inhalation Exposures'!P72</f>
        <v>4.2421785200297685E-2</v>
      </c>
      <c r="H12" s="316">
        <f>'Inhalation Exposures'!R72</f>
        <v>1.6859940271913183E-2</v>
      </c>
      <c r="I12" s="329"/>
      <c r="J12" s="329"/>
      <c r="K12" s="329"/>
      <c r="L12" s="329"/>
      <c r="M12" s="1"/>
      <c r="N12" s="565" t="s">
        <v>464</v>
      </c>
      <c r="O12" s="71" t="s">
        <v>103</v>
      </c>
      <c r="P12" s="316">
        <f>P10/'List Values'!$B$16</f>
        <v>3.19</v>
      </c>
      <c r="Q12" s="316">
        <f>Q10/'List Values'!$B$16</f>
        <v>0.04</v>
      </c>
      <c r="R12" s="316">
        <f>R10/'List Values'!$B$16</f>
        <v>2.8000000000000004E-2</v>
      </c>
      <c r="S12" s="316">
        <f>S10/'List Values'!$B$16</f>
        <v>1.2E-2</v>
      </c>
      <c r="T12" s="67"/>
    </row>
    <row r="13" spans="2:21" ht="15.75" x14ac:dyDescent="0.25">
      <c r="C13" s="88" t="s">
        <v>28</v>
      </c>
      <c r="D13" s="591"/>
      <c r="E13" s="316">
        <f>'Inhalation Exposures'!J81</f>
        <v>6.1314082626080742E-2</v>
      </c>
      <c r="F13" s="316">
        <f>'Inhalation Exposures'!L81</f>
        <v>4.1710260289850844E-2</v>
      </c>
      <c r="G13" s="316">
        <f>'Inhalation Exposures'!P81</f>
        <v>2.8568671431404687E-2</v>
      </c>
      <c r="H13" s="316">
        <f>'Inhalation Exposures'!R81</f>
        <v>1.1354215568891607E-2</v>
      </c>
      <c r="I13" s="329"/>
      <c r="J13" s="329"/>
      <c r="K13" s="329"/>
      <c r="L13" s="329"/>
      <c r="M13" s="1"/>
      <c r="N13" s="565"/>
      <c r="O13" s="71" t="s">
        <v>27</v>
      </c>
      <c r="P13" s="316">
        <f>P11/'List Values'!$B$16</f>
        <v>1.1919999999999999</v>
      </c>
      <c r="Q13" s="316">
        <f>Q11/'List Values'!$B$16</f>
        <v>1.4000000000000002E-2</v>
      </c>
      <c r="R13" s="316">
        <f>R11/'List Values'!$B$16</f>
        <v>0.01</v>
      </c>
      <c r="S13" s="316">
        <f>S11/'List Values'!$B$16</f>
        <v>4.0000000000000001E-3</v>
      </c>
      <c r="T13" s="67"/>
    </row>
    <row r="14" spans="2:21" x14ac:dyDescent="0.2">
      <c r="N14" s="565" t="s">
        <v>465</v>
      </c>
      <c r="O14" s="71" t="s">
        <v>103</v>
      </c>
      <c r="P14" s="316">
        <f>P10/'List Values'!$B$17</f>
        <v>1.595</v>
      </c>
      <c r="Q14" s="316">
        <f>Q10/'List Values'!$B$17</f>
        <v>0.02</v>
      </c>
      <c r="R14" s="316">
        <f>R10/'List Values'!$B$17</f>
        <v>1.4000000000000002E-2</v>
      </c>
      <c r="S14" s="316">
        <f>S10/'List Values'!$B$17</f>
        <v>6.0000000000000001E-3</v>
      </c>
    </row>
    <row r="15" spans="2:21" ht="21" x14ac:dyDescent="0.35">
      <c r="C15" s="83" t="s">
        <v>105</v>
      </c>
      <c r="N15" s="565"/>
      <c r="O15" s="71" t="s">
        <v>27</v>
      </c>
      <c r="P15" s="316">
        <f>P11/'List Values'!$B$17</f>
        <v>0.59599999999999997</v>
      </c>
      <c r="Q15" s="316">
        <f>Q11/'List Values'!$B$17</f>
        <v>7.000000000000001E-3</v>
      </c>
      <c r="R15" s="316">
        <f>R11/'List Values'!$B$17</f>
        <v>5.0000000000000001E-3</v>
      </c>
      <c r="S15" s="316">
        <f>S11/'List Values'!$B$17</f>
        <v>2E-3</v>
      </c>
    </row>
    <row r="16" spans="2:21" ht="28.5" customHeight="1" x14ac:dyDescent="0.2">
      <c r="B16" s="70"/>
      <c r="C16" s="568" t="s">
        <v>106</v>
      </c>
      <c r="D16" s="568" t="s">
        <v>107</v>
      </c>
      <c r="E16" s="568" t="s">
        <v>23</v>
      </c>
      <c r="F16" s="568" t="s">
        <v>108</v>
      </c>
      <c r="G16" s="568" t="s">
        <v>109</v>
      </c>
      <c r="H16" s="568"/>
      <c r="I16" s="90"/>
      <c r="J16" s="90"/>
      <c r="K16" s="90"/>
      <c r="L16" s="90"/>
      <c r="M16" s="90"/>
      <c r="N16" s="565" t="s">
        <v>466</v>
      </c>
      <c r="O16" s="71" t="s">
        <v>103</v>
      </c>
      <c r="P16" s="316">
        <f>P10/'List Values'!$B$18</f>
        <v>0.79749999999999999</v>
      </c>
      <c r="Q16" s="316">
        <f>Q10/'List Values'!$B$18</f>
        <v>0.01</v>
      </c>
      <c r="R16" s="316">
        <f>R10/'List Values'!$B$18</f>
        <v>7.000000000000001E-3</v>
      </c>
      <c r="S16" s="316">
        <f>S10/'List Values'!$B$18</f>
        <v>3.0000000000000001E-3</v>
      </c>
    </row>
    <row r="17" spans="2:19" ht="26.1" customHeight="1" x14ac:dyDescent="0.2">
      <c r="B17" s="70"/>
      <c r="C17" s="568"/>
      <c r="D17" s="568"/>
      <c r="E17" s="568"/>
      <c r="F17" s="568"/>
      <c r="G17" s="413" t="s">
        <v>110</v>
      </c>
      <c r="H17" s="413" t="s">
        <v>111</v>
      </c>
      <c r="I17" s="90"/>
      <c r="J17" s="90"/>
      <c r="K17" s="90"/>
      <c r="L17" s="90"/>
      <c r="M17" s="90"/>
      <c r="N17" s="565"/>
      <c r="O17" s="71" t="s">
        <v>27</v>
      </c>
      <c r="P17" s="316">
        <f>P11/'List Values'!$B$18</f>
        <v>0.29799999999999999</v>
      </c>
      <c r="Q17" s="316">
        <f>Q11/'List Values'!$B$18</f>
        <v>3.5000000000000005E-3</v>
      </c>
      <c r="R17" s="316">
        <f>R11/'List Values'!$B$18</f>
        <v>2.5000000000000001E-3</v>
      </c>
      <c r="S17" s="316">
        <f>S11/'List Values'!$B$18</f>
        <v>1E-3</v>
      </c>
    </row>
    <row r="18" spans="2:19" ht="27.6" customHeight="1" x14ac:dyDescent="0.2">
      <c r="B18" s="70"/>
      <c r="C18" s="577" t="s">
        <v>198</v>
      </c>
      <c r="D18" s="580">
        <v>37.194773111428944</v>
      </c>
      <c r="E18" s="71" t="s">
        <v>103</v>
      </c>
      <c r="F18" s="100">
        <v>10</v>
      </c>
      <c r="G18" s="101">
        <f>D18/$F$10</f>
        <v>131.11351127387803</v>
      </c>
      <c r="H18" s="102">
        <f>D18/$F$11</f>
        <v>194.94723032872344</v>
      </c>
      <c r="I18" s="330"/>
      <c r="J18" s="330"/>
      <c r="K18" s="330"/>
      <c r="L18" s="330"/>
      <c r="M18" s="77"/>
    </row>
    <row r="19" spans="2:19" ht="25.5" customHeight="1" x14ac:dyDescent="0.35">
      <c r="B19" s="70"/>
      <c r="C19" s="577"/>
      <c r="D19" s="555"/>
      <c r="E19" s="71" t="s">
        <v>27</v>
      </c>
      <c r="F19" s="100">
        <v>10</v>
      </c>
      <c r="G19" s="101">
        <f>D18/$F$12</f>
        <v>600.53748030270651</v>
      </c>
      <c r="H19" s="102">
        <f>D18/$F$13</f>
        <v>891.74157276787287</v>
      </c>
      <c r="I19" s="330"/>
      <c r="J19" s="330"/>
      <c r="K19" s="330"/>
      <c r="L19" s="330"/>
      <c r="M19" s="77"/>
      <c r="N19" s="83" t="s">
        <v>113</v>
      </c>
    </row>
    <row r="20" spans="2:19"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19" s="85" customFormat="1" ht="27.75" x14ac:dyDescent="0.35">
      <c r="B21" s="83"/>
      <c r="C21" s="83" t="s">
        <v>122</v>
      </c>
      <c r="F21" s="86"/>
      <c r="N21" s="571"/>
      <c r="O21" s="571"/>
      <c r="P21" s="571"/>
      <c r="Q21" s="571"/>
      <c r="R21" s="422" t="s">
        <v>116</v>
      </c>
      <c r="S21" s="66"/>
    </row>
    <row r="22" spans="2:19" ht="33" customHeight="1" x14ac:dyDescent="0.2">
      <c r="B22" s="79"/>
      <c r="C22" s="568" t="s">
        <v>106</v>
      </c>
      <c r="D22" s="568" t="s">
        <v>107</v>
      </c>
      <c r="E22" s="568" t="s">
        <v>23</v>
      </c>
      <c r="F22" s="568" t="s">
        <v>108</v>
      </c>
      <c r="G22" s="568" t="s">
        <v>123</v>
      </c>
      <c r="H22" s="568"/>
      <c r="I22" s="90"/>
      <c r="J22" s="90"/>
      <c r="K22" s="90"/>
      <c r="L22" s="90"/>
      <c r="M22" s="90"/>
      <c r="N22" s="577" t="s">
        <v>199</v>
      </c>
      <c r="O22" s="589">
        <v>17</v>
      </c>
      <c r="P22" s="72" t="s">
        <v>103</v>
      </c>
      <c r="Q22" s="412">
        <v>30</v>
      </c>
      <c r="R22" s="101">
        <f>IFERROR(O22/Q10, "")</f>
        <v>85</v>
      </c>
    </row>
    <row r="23" spans="2:19" ht="24" customHeight="1" x14ac:dyDescent="0.2">
      <c r="B23" s="79"/>
      <c r="C23" s="582"/>
      <c r="D23" s="568"/>
      <c r="E23" s="568"/>
      <c r="F23" s="568"/>
      <c r="G23" s="413" t="s">
        <v>110</v>
      </c>
      <c r="H23" s="413" t="s">
        <v>111</v>
      </c>
      <c r="I23" s="90"/>
      <c r="J23" s="90"/>
      <c r="K23" s="90"/>
      <c r="L23" s="90"/>
      <c r="M23" s="90"/>
      <c r="N23" s="577"/>
      <c r="O23" s="590"/>
      <c r="P23" s="72" t="s">
        <v>27</v>
      </c>
      <c r="Q23" s="412">
        <v>30</v>
      </c>
      <c r="R23" s="101">
        <f>IFERROR(O22/Q11, "")</f>
        <v>242.85714285714283</v>
      </c>
    </row>
    <row r="24" spans="2:19" ht="33" customHeight="1" x14ac:dyDescent="0.2">
      <c r="B24" s="79"/>
      <c r="C24" s="577" t="s">
        <v>200</v>
      </c>
      <c r="D24" s="578">
        <v>2.2730139123651023</v>
      </c>
      <c r="E24" s="72" t="s">
        <v>103</v>
      </c>
      <c r="F24" s="100">
        <v>30</v>
      </c>
      <c r="G24" s="419">
        <f>D24/$G$10</f>
        <v>11.698238839213786</v>
      </c>
      <c r="H24" s="419">
        <f>D24/$G$11</f>
        <v>17.393625105996101</v>
      </c>
      <c r="I24" s="96"/>
      <c r="J24" s="96"/>
      <c r="K24" s="96"/>
      <c r="L24" s="96"/>
      <c r="M24" s="77"/>
      <c r="N24" s="74"/>
      <c r="O24" s="75"/>
      <c r="P24" s="81"/>
      <c r="R24" s="77"/>
    </row>
    <row r="25" spans="2:19" ht="33" customHeight="1" x14ac:dyDescent="0.35">
      <c r="B25" s="79"/>
      <c r="C25" s="577"/>
      <c r="D25" s="559"/>
      <c r="E25" s="72" t="s">
        <v>27</v>
      </c>
      <c r="F25" s="100">
        <v>30</v>
      </c>
      <c r="G25" s="419">
        <f>D24/$G$12</f>
        <v>53.581288520341474</v>
      </c>
      <c r="H25" s="419">
        <f>D24/$G$13</f>
        <v>79.563164770289106</v>
      </c>
      <c r="I25" s="96"/>
      <c r="J25" s="96"/>
      <c r="K25" s="96"/>
      <c r="L25" s="96"/>
      <c r="M25" s="77"/>
      <c r="N25" s="83" t="s">
        <v>125</v>
      </c>
      <c r="O25" s="85"/>
      <c r="P25" s="85"/>
      <c r="Q25" s="85"/>
      <c r="R25" s="85"/>
      <c r="S25" s="85"/>
    </row>
    <row r="26" spans="2:19" ht="25.5" x14ac:dyDescent="0.2">
      <c r="B26" s="79"/>
      <c r="C26" s="80"/>
      <c r="D26" s="75"/>
      <c r="E26" s="81"/>
      <c r="F26" s="75"/>
      <c r="G26" s="77"/>
      <c r="H26" s="77"/>
      <c r="I26" s="77"/>
      <c r="J26" s="77"/>
      <c r="K26" s="77"/>
      <c r="L26" s="77"/>
      <c r="M26" s="77"/>
      <c r="N26" s="566" t="s">
        <v>106</v>
      </c>
      <c r="O26" s="566" t="s">
        <v>121</v>
      </c>
      <c r="P26" s="566" t="s">
        <v>23</v>
      </c>
      <c r="Q26" s="566" t="s">
        <v>108</v>
      </c>
      <c r="R26" s="411" t="s">
        <v>123</v>
      </c>
    </row>
    <row r="27" spans="2:19" ht="33" customHeight="1" x14ac:dyDescent="0.35">
      <c r="B27" s="79"/>
      <c r="C27" s="83" t="s">
        <v>126</v>
      </c>
      <c r="D27" s="85"/>
      <c r="E27" s="85"/>
      <c r="F27" s="85"/>
      <c r="G27" s="85"/>
      <c r="H27" s="85"/>
      <c r="I27" s="85"/>
      <c r="J27" s="85"/>
      <c r="K27" s="85"/>
      <c r="L27" s="85"/>
      <c r="M27" s="77"/>
      <c r="N27" s="581"/>
      <c r="O27" s="567"/>
      <c r="P27" s="567"/>
      <c r="Q27" s="567"/>
      <c r="R27" s="411" t="s">
        <v>116</v>
      </c>
    </row>
    <row r="28" spans="2:19" ht="33" customHeight="1" x14ac:dyDescent="0.2">
      <c r="B28" s="79"/>
      <c r="C28" s="582" t="s">
        <v>127</v>
      </c>
      <c r="D28" s="566" t="s">
        <v>128</v>
      </c>
      <c r="E28" s="566" t="s">
        <v>23</v>
      </c>
      <c r="F28" s="583" t="s">
        <v>129</v>
      </c>
      <c r="G28" s="568" t="s">
        <v>130</v>
      </c>
      <c r="H28" s="568"/>
      <c r="I28" s="90"/>
      <c r="J28" s="90"/>
      <c r="K28" s="90"/>
      <c r="L28" s="90"/>
      <c r="M28" s="77"/>
      <c r="N28" s="577" t="s">
        <v>200</v>
      </c>
      <c r="O28" s="580">
        <v>1.7</v>
      </c>
      <c r="P28" s="72" t="s">
        <v>103</v>
      </c>
      <c r="Q28" s="412">
        <v>30</v>
      </c>
      <c r="R28" s="107">
        <f>IFERROR(O28/$R$10, "")</f>
        <v>12.142857142857141</v>
      </c>
    </row>
    <row r="29" spans="2:19" ht="33" customHeight="1" x14ac:dyDescent="0.2">
      <c r="B29" s="79"/>
      <c r="C29" s="608"/>
      <c r="D29" s="567"/>
      <c r="E29" s="567"/>
      <c r="F29" s="584"/>
      <c r="G29" s="413" t="s">
        <v>131</v>
      </c>
      <c r="H29" s="413" t="s">
        <v>28</v>
      </c>
      <c r="I29" s="90"/>
      <c r="J29" s="90"/>
      <c r="K29" s="90"/>
      <c r="L29" s="90"/>
      <c r="M29" s="77"/>
      <c r="N29" s="577"/>
      <c r="O29" s="555"/>
      <c r="P29" s="72" t="s">
        <v>27</v>
      </c>
      <c r="Q29" s="412">
        <v>30</v>
      </c>
      <c r="R29" s="107">
        <f>IFERROR(O28/$R$11, "")</f>
        <v>34</v>
      </c>
    </row>
    <row r="30" spans="2:19" ht="33" customHeight="1" x14ac:dyDescent="0.2">
      <c r="B30" s="79"/>
      <c r="C30" s="604" t="s">
        <v>201</v>
      </c>
      <c r="D30" s="574">
        <v>3.7747239263803682E-2</v>
      </c>
      <c r="E30" s="71" t="s">
        <v>103</v>
      </c>
      <c r="F30" s="106">
        <v>1E-4</v>
      </c>
      <c r="G30" s="103">
        <f>H10*D30</f>
        <v>3.7612499287078289E-3</v>
      </c>
      <c r="H30" s="403">
        <f>H11*D30</f>
        <v>2.5296624327514048E-3</v>
      </c>
      <c r="I30" s="331"/>
      <c r="J30" s="331"/>
      <c r="K30" s="331"/>
      <c r="L30" s="331"/>
      <c r="M30" s="77"/>
    </row>
    <row r="31" spans="2:19" ht="33" customHeight="1" x14ac:dyDescent="0.35">
      <c r="B31" s="79"/>
      <c r="C31" s="604"/>
      <c r="D31" s="575"/>
      <c r="E31" s="71" t="s">
        <v>27</v>
      </c>
      <c r="F31" s="106">
        <v>1E-4</v>
      </c>
      <c r="G31" s="105">
        <f>H12*D30</f>
        <v>6.3641619941734624E-4</v>
      </c>
      <c r="H31" s="289">
        <f>H13*D30</f>
        <v>4.2859029173175633E-4</v>
      </c>
      <c r="I31" s="336"/>
      <c r="J31" s="336"/>
      <c r="K31" s="336"/>
      <c r="L31" s="336"/>
      <c r="M31" s="77"/>
      <c r="N31" s="83" t="s">
        <v>126</v>
      </c>
      <c r="O31" s="85"/>
      <c r="P31" s="85"/>
      <c r="R31" s="85"/>
    </row>
    <row r="32" spans="2:19" ht="33" customHeight="1" x14ac:dyDescent="0.2">
      <c r="B32" s="79"/>
      <c r="I32" s="77"/>
      <c r="J32" s="77"/>
      <c r="K32" s="77"/>
      <c r="L32" s="77"/>
      <c r="M32" s="77"/>
      <c r="N32" s="566" t="s">
        <v>127</v>
      </c>
      <c r="O32" s="566" t="s">
        <v>133</v>
      </c>
      <c r="P32" s="566" t="s">
        <v>23</v>
      </c>
      <c r="Q32" s="566" t="s">
        <v>129</v>
      </c>
      <c r="R32" s="411" t="s">
        <v>130</v>
      </c>
    </row>
    <row r="33" spans="2:20" ht="33" customHeight="1" x14ac:dyDescent="0.35">
      <c r="B33" s="79"/>
      <c r="C33" s="83" t="s">
        <v>134</v>
      </c>
      <c r="I33" s="77"/>
      <c r="J33" s="77"/>
      <c r="K33" s="77"/>
      <c r="L33" s="77"/>
      <c r="M33" s="77"/>
      <c r="N33" s="581"/>
      <c r="O33" s="567"/>
      <c r="P33" s="567"/>
      <c r="Q33" s="567"/>
      <c r="R33" s="411" t="s">
        <v>135</v>
      </c>
    </row>
    <row r="34" spans="2:20" ht="33" customHeight="1" thickBot="1" x14ac:dyDescent="0.4">
      <c r="B34" s="79"/>
      <c r="C34" s="83"/>
      <c r="I34" s="77"/>
      <c r="J34" s="77"/>
      <c r="K34" s="77"/>
      <c r="L34" s="77"/>
      <c r="M34" s="77"/>
      <c r="N34" s="604" t="s">
        <v>201</v>
      </c>
      <c r="O34" s="574">
        <v>0.05</v>
      </c>
      <c r="P34" s="71" t="s">
        <v>103</v>
      </c>
      <c r="Q34" s="107">
        <v>1E-4</v>
      </c>
      <c r="R34" s="107">
        <f>IFERROR(S10*O34, "")</f>
        <v>3.0000000000000001E-3</v>
      </c>
    </row>
    <row r="35" spans="2:20" ht="33" customHeight="1" x14ac:dyDescent="0.25">
      <c r="B35" s="79"/>
      <c r="C35" s="325" t="s">
        <v>136</v>
      </c>
      <c r="I35" s="77"/>
      <c r="J35" s="77"/>
      <c r="K35" s="77"/>
      <c r="L35" s="77"/>
      <c r="M35" s="77"/>
      <c r="N35" s="604"/>
      <c r="O35" s="575"/>
      <c r="P35" s="71" t="s">
        <v>27</v>
      </c>
      <c r="Q35" s="107">
        <v>1E-4</v>
      </c>
      <c r="R35" s="107">
        <f>IFERROR(S11*O34, "")</f>
        <v>1E-3</v>
      </c>
    </row>
    <row r="36" spans="2:20" ht="33" customHeight="1" thickBot="1" x14ac:dyDescent="0.3">
      <c r="B36" s="79"/>
      <c r="C36" s="326" t="s">
        <v>28</v>
      </c>
      <c r="I36" s="77"/>
      <c r="J36" s="77"/>
      <c r="K36" s="77"/>
      <c r="L36" s="77"/>
      <c r="M36" s="77"/>
    </row>
    <row r="37" spans="2:20" ht="33" customHeight="1" x14ac:dyDescent="0.35">
      <c r="B37" s="79"/>
      <c r="C37" s="317"/>
      <c r="I37" s="77"/>
      <c r="J37" s="77"/>
      <c r="K37" s="77"/>
      <c r="L37" s="77"/>
      <c r="M37" s="77"/>
      <c r="N37" s="83" t="s">
        <v>137</v>
      </c>
    </row>
    <row r="38" spans="2:20" ht="33" customHeight="1" thickBot="1" x14ac:dyDescent="0.25">
      <c r="B38" s="79"/>
      <c r="I38" s="77"/>
      <c r="J38" s="77"/>
      <c r="K38" s="77"/>
      <c r="L38" s="77"/>
      <c r="M38" s="77"/>
    </row>
    <row r="39" spans="2:20" ht="33" customHeight="1" x14ac:dyDescent="0.2">
      <c r="B39" s="548" t="s">
        <v>138</v>
      </c>
      <c r="C39" s="540" t="s">
        <v>107</v>
      </c>
      <c r="D39" s="540" t="s">
        <v>23</v>
      </c>
      <c r="E39" s="540" t="s">
        <v>108</v>
      </c>
      <c r="F39" s="540" t="str">
        <f>_xlfn.CONCAT("Exposure Estimates: ",$C$42," MOE")</f>
        <v>Exposure Estimates:  MOE</v>
      </c>
      <c r="G39" s="540"/>
      <c r="H39" s="540"/>
      <c r="I39" s="540"/>
      <c r="J39" s="540"/>
      <c r="K39" s="542"/>
      <c r="L39" s="90"/>
      <c r="M39" s="77"/>
      <c r="N39" s="532" t="s">
        <v>121</v>
      </c>
      <c r="O39" s="540" t="s">
        <v>23</v>
      </c>
      <c r="P39" s="540" t="s">
        <v>108</v>
      </c>
      <c r="Q39" s="540" t="str">
        <f>_xlfn.CONCAT("Exposure Estimates: ",$C$42," MOE")</f>
        <v>Exposure Estimates:  MOE</v>
      </c>
      <c r="R39" s="540"/>
      <c r="S39" s="540"/>
      <c r="T39" s="542"/>
    </row>
    <row r="40" spans="2:20" ht="33" customHeight="1" thickBot="1" x14ac:dyDescent="0.25">
      <c r="B40" s="549"/>
      <c r="C40" s="541"/>
      <c r="D40" s="541"/>
      <c r="E40" s="541"/>
      <c r="F40" s="416" t="s">
        <v>139</v>
      </c>
      <c r="G40" s="416" t="s">
        <v>34</v>
      </c>
      <c r="H40" s="416" t="s">
        <v>35</v>
      </c>
      <c r="I40" s="416" t="s">
        <v>32</v>
      </c>
      <c r="J40" s="416" t="s">
        <v>140</v>
      </c>
      <c r="K40" s="290" t="s">
        <v>31</v>
      </c>
      <c r="L40" s="90"/>
      <c r="M40" s="77"/>
      <c r="N40" s="533"/>
      <c r="O40" s="541"/>
      <c r="P40" s="541"/>
      <c r="Q40" s="318" t="s">
        <v>135</v>
      </c>
      <c r="R40" s="318" t="s">
        <v>33</v>
      </c>
      <c r="S40" s="318" t="s">
        <v>141</v>
      </c>
      <c r="T40" s="319" t="s">
        <v>142</v>
      </c>
    </row>
    <row r="41" spans="2:20" ht="33" customHeight="1" x14ac:dyDescent="0.2">
      <c r="B41" s="550" t="s">
        <v>143</v>
      </c>
      <c r="C41" s="555">
        <v>37.194773111428944</v>
      </c>
      <c r="D41" s="292" t="s">
        <v>103</v>
      </c>
      <c r="E41" s="421">
        <v>10</v>
      </c>
      <c r="F41" s="304">
        <f>IFERROR($C41/IF($C$36="Worker",$F$10,$F$11), "")</f>
        <v>194.94723032872344</v>
      </c>
      <c r="G41" s="305">
        <f>IFERROR($F41*'List Values'!$B$9, "")</f>
        <v>1949.4723032872344</v>
      </c>
      <c r="H41" s="305">
        <f>IFERROR($F41*'List Values'!$B$10, "")</f>
        <v>4873.6807582180863</v>
      </c>
      <c r="I41" s="305">
        <f>IFERROR($F41*'List Values'!$B$11, "")</f>
        <v>9747.3615164361727</v>
      </c>
      <c r="J41" s="305">
        <f>IFERROR($F41*'List Values'!$B$12, "")</f>
        <v>194947.23032872344</v>
      </c>
      <c r="K41" s="306">
        <f>IFERROR($F41*'List Values'!$B$13, "")</f>
        <v>1949472.3032872344</v>
      </c>
      <c r="L41" s="330"/>
      <c r="M41" s="77"/>
      <c r="N41" s="534">
        <v>17</v>
      </c>
      <c r="O41" s="292" t="s">
        <v>103</v>
      </c>
      <c r="P41" s="421">
        <v>30</v>
      </c>
      <c r="Q41" s="305">
        <f>IFERROR($N41/Q$10, "")</f>
        <v>85</v>
      </c>
      <c r="R41" s="305">
        <f>IFERROR($N41/$Q$12, "")</f>
        <v>425</v>
      </c>
      <c r="S41" s="305">
        <f>IFERROR($N41/$Q$14, "")</f>
        <v>850</v>
      </c>
      <c r="T41" s="306">
        <f>IFERROR($N41/$Q$16, "")</f>
        <v>1700</v>
      </c>
    </row>
    <row r="42" spans="2:20" ht="33" customHeight="1" thickBot="1" x14ac:dyDescent="0.25">
      <c r="B42" s="551"/>
      <c r="C42" s="556"/>
      <c r="D42" s="293" t="s">
        <v>27</v>
      </c>
      <c r="E42" s="418">
        <v>10</v>
      </c>
      <c r="F42" s="303">
        <f>IFERROR($C41/IF($C$36="Worker",$F$12,$F$13), "")</f>
        <v>891.74157276787287</v>
      </c>
      <c r="G42" s="303">
        <f>IFERROR($F42*'List Values'!$B$9, "")</f>
        <v>8917.4157276787282</v>
      </c>
      <c r="H42" s="303">
        <f>IFERROR($F42*'List Values'!$B$10, "")</f>
        <v>22293.539319196821</v>
      </c>
      <c r="I42" s="303">
        <f>IFERROR($F42*'List Values'!$B$11, "")</f>
        <v>44587.078638393643</v>
      </c>
      <c r="J42" s="303">
        <f>IFERROR($F42*'List Values'!$B$12, "")</f>
        <v>891741.57276787283</v>
      </c>
      <c r="K42" s="307">
        <f>IFERROR($F42*'List Values'!$B$13, "")</f>
        <v>8917415.7276787292</v>
      </c>
      <c r="L42" s="330"/>
      <c r="M42" s="77"/>
      <c r="N42" s="535"/>
      <c r="O42" s="293" t="s">
        <v>27</v>
      </c>
      <c r="P42" s="418">
        <v>30</v>
      </c>
      <c r="Q42" s="321">
        <f>IFERROR($N41/$Q$11, "")</f>
        <v>242.85714285714283</v>
      </c>
      <c r="R42" s="321">
        <f>IFERROR($N41/$Q$13, "")</f>
        <v>1214.2857142857142</v>
      </c>
      <c r="S42" s="321">
        <f>IFERROR($N41/$Q$15, "")</f>
        <v>2428.5714285714284</v>
      </c>
      <c r="T42" s="322">
        <f>IFERROR($N41/$Q$17, "")</f>
        <v>4857.1428571428569</v>
      </c>
    </row>
    <row r="43" spans="2:20" ht="33" customHeight="1" x14ac:dyDescent="0.2">
      <c r="B43" s="553" t="s">
        <v>145</v>
      </c>
      <c r="C43" s="555">
        <v>2.2730139123651023</v>
      </c>
      <c r="D43" s="292" t="s">
        <v>103</v>
      </c>
      <c r="E43" s="421">
        <v>30</v>
      </c>
      <c r="F43" s="304">
        <f>IFERROR($C43/IF($C$36="Worker",$G$10,$G$11), "")</f>
        <v>17.393625105996101</v>
      </c>
      <c r="G43" s="305">
        <f>IFERROR($F43*'List Values'!$B$9, "")</f>
        <v>173.93625105996102</v>
      </c>
      <c r="H43" s="305">
        <f>IFERROR($F43*'List Values'!$B$10, "")</f>
        <v>434.8406276499025</v>
      </c>
      <c r="I43" s="305">
        <f>IFERROR($F43*'List Values'!$B$11, "")</f>
        <v>869.681255299805</v>
      </c>
      <c r="J43" s="305">
        <f>IFERROR($F43*'List Values'!$B$12, "")</f>
        <v>17393.6251059961</v>
      </c>
      <c r="K43" s="306">
        <f>IFERROR($F43*'List Values'!$B$13, "")</f>
        <v>173936.25105996101</v>
      </c>
      <c r="L43" s="330"/>
      <c r="M43" s="77"/>
      <c r="N43" s="534">
        <v>1.7</v>
      </c>
      <c r="O43" s="292" t="s">
        <v>103</v>
      </c>
      <c r="P43" s="421">
        <v>30</v>
      </c>
      <c r="Q43" s="323">
        <f>IFERROR($N$43/$R$10, "")</f>
        <v>12.142857142857141</v>
      </c>
      <c r="R43" s="323">
        <f>IFERROR($N$43/$R$12, "")</f>
        <v>60.714285714285701</v>
      </c>
      <c r="S43" s="323">
        <f>IFERROR($N$43/$R$14, "")</f>
        <v>121.4285714285714</v>
      </c>
      <c r="T43" s="323">
        <f>IFERROR($N$43/$R$16, "")</f>
        <v>242.8571428571428</v>
      </c>
    </row>
    <row r="44" spans="2:20" ht="33" customHeight="1" thickBot="1" x14ac:dyDescent="0.25">
      <c r="B44" s="554"/>
      <c r="C44" s="556"/>
      <c r="D44" s="293" t="s">
        <v>27</v>
      </c>
      <c r="E44" s="418">
        <v>30</v>
      </c>
      <c r="F44" s="303">
        <f>IFERROR($C43/IF($C$36="Worker",$G$12,$G$13), "")</f>
        <v>79.563164770289106</v>
      </c>
      <c r="G44" s="303">
        <f>IFERROR($F44*'List Values'!$B$9, "")</f>
        <v>795.63164770289109</v>
      </c>
      <c r="H44" s="303">
        <f>IFERROR($F44*'List Values'!$B$10, "")</f>
        <v>1989.0791192572276</v>
      </c>
      <c r="I44" s="303">
        <f>IFERROR($F44*'List Values'!$B$11, "")</f>
        <v>3978.1582385144552</v>
      </c>
      <c r="J44" s="303">
        <f>IFERROR($F44*'List Values'!$B$12, "")</f>
        <v>79563.164770289106</v>
      </c>
      <c r="K44" s="307">
        <f>IFERROR($F44*'List Values'!$B$13, "")</f>
        <v>795631.64770289103</v>
      </c>
      <c r="L44" s="330"/>
      <c r="M44" s="77"/>
      <c r="N44" s="603"/>
      <c r="O44" s="320" t="s">
        <v>27</v>
      </c>
      <c r="P44" s="420">
        <v>30</v>
      </c>
      <c r="Q44" s="323">
        <f>IFERROR($N$43/$R$11, "")</f>
        <v>34</v>
      </c>
      <c r="R44" s="323">
        <f>IFERROR($N$43/$R$13, "")</f>
        <v>170</v>
      </c>
      <c r="S44" s="323">
        <f>IFERROR($N$43/$R$15, "")</f>
        <v>340</v>
      </c>
      <c r="T44" s="323">
        <f>IFERROR($N$43/$R$17, "")</f>
        <v>680</v>
      </c>
    </row>
    <row r="45" spans="2:20" ht="33" customHeight="1" x14ac:dyDescent="0.2">
      <c r="B45" s="294"/>
      <c r="C45" s="547" t="s">
        <v>146</v>
      </c>
      <c r="D45" s="530" t="s">
        <v>23</v>
      </c>
      <c r="E45" s="530" t="s">
        <v>108</v>
      </c>
      <c r="F45" s="530" t="str">
        <f>_xlfn.CONCAT("Exposure Estimates: ",$C$42," MOE")</f>
        <v>Exposure Estimates:  MOE</v>
      </c>
      <c r="G45" s="530"/>
      <c r="H45" s="530"/>
      <c r="I45" s="530"/>
      <c r="J45" s="530"/>
      <c r="K45" s="531"/>
      <c r="L45" s="90"/>
      <c r="M45" s="77"/>
      <c r="N45" s="532" t="s">
        <v>147</v>
      </c>
      <c r="O45" s="540" t="s">
        <v>23</v>
      </c>
      <c r="P45" s="540" t="s">
        <v>108</v>
      </c>
      <c r="Q45" s="540" t="str">
        <f>_xlfn.CONCAT("Exposure Estimates: ",$I$4," MOE")</f>
        <v>Exposure Estimates:  MOE</v>
      </c>
      <c r="R45" s="540"/>
      <c r="S45" s="540"/>
      <c r="T45" s="542"/>
    </row>
    <row r="46" spans="2:20" ht="33" customHeight="1" thickBot="1" x14ac:dyDescent="0.25">
      <c r="B46" s="294"/>
      <c r="C46" s="533"/>
      <c r="D46" s="541"/>
      <c r="E46" s="541"/>
      <c r="F46" s="416" t="s">
        <v>139</v>
      </c>
      <c r="G46" s="416" t="s">
        <v>34</v>
      </c>
      <c r="H46" s="416" t="s">
        <v>35</v>
      </c>
      <c r="I46" s="416" t="s">
        <v>32</v>
      </c>
      <c r="J46" s="416" t="s">
        <v>140</v>
      </c>
      <c r="K46" s="290" t="s">
        <v>31</v>
      </c>
      <c r="L46" s="90"/>
      <c r="M46" s="77"/>
      <c r="N46" s="533"/>
      <c r="O46" s="541"/>
      <c r="P46" s="541"/>
      <c r="Q46" s="318" t="s">
        <v>135</v>
      </c>
      <c r="R46" s="318" t="s">
        <v>33</v>
      </c>
      <c r="S46" s="318" t="s">
        <v>141</v>
      </c>
      <c r="T46" s="319" t="s">
        <v>142</v>
      </c>
    </row>
    <row r="47" spans="2:20" ht="33" customHeight="1" x14ac:dyDescent="0.2">
      <c r="B47" s="545" t="s">
        <v>148</v>
      </c>
      <c r="C47" s="599">
        <v>3.7747239263803682E-2</v>
      </c>
      <c r="D47" s="299" t="s">
        <v>103</v>
      </c>
      <c r="E47" s="334">
        <v>1E-4</v>
      </c>
      <c r="F47" s="340">
        <f>IFERROR($C47*IF($C$36="Worker",$H$10,$H$11), "")</f>
        <v>2.5296624327514048E-3</v>
      </c>
      <c r="G47" s="341">
        <f>IFERROR($F47/'List Values'!$B$9, "")</f>
        <v>2.5296624327514046E-4</v>
      </c>
      <c r="H47" s="341">
        <f>IFERROR($F47/'List Values'!$B$10, "")</f>
        <v>1.0118649731005619E-4</v>
      </c>
      <c r="I47" s="341">
        <f>IFERROR($F47/'List Values'!$B$11, "")</f>
        <v>5.0593248655028095E-5</v>
      </c>
      <c r="J47" s="341">
        <f>IFERROR($F47/'List Values'!$B$12, "")</f>
        <v>2.5296624327514048E-6</v>
      </c>
      <c r="K47" s="342">
        <f>IFERROR($F47/'List Values'!$B$13, "")</f>
        <v>2.5296624327514049E-7</v>
      </c>
      <c r="L47" s="333"/>
      <c r="M47" s="77"/>
      <c r="N47" s="600">
        <v>0.05</v>
      </c>
      <c r="O47" s="299" t="s">
        <v>103</v>
      </c>
      <c r="P47" s="601">
        <v>1E-4</v>
      </c>
      <c r="Q47" s="301">
        <f>IFERROR($N$47*$S10, "")</f>
        <v>3.0000000000000001E-3</v>
      </c>
      <c r="R47" s="301">
        <f>IFERROR($N$47*$S12, "")</f>
        <v>6.0000000000000006E-4</v>
      </c>
      <c r="S47" s="301">
        <f>IFERROR($N$47*$S14, "")</f>
        <v>3.0000000000000003E-4</v>
      </c>
      <c r="T47" s="301">
        <f>IFERROR($N$47*$S16, "")</f>
        <v>1.5000000000000001E-4</v>
      </c>
    </row>
    <row r="48" spans="2:20" ht="33" customHeight="1" thickBot="1" x14ac:dyDescent="0.25">
      <c r="B48" s="546"/>
      <c r="C48" s="544"/>
      <c r="D48" s="293" t="s">
        <v>27</v>
      </c>
      <c r="E48" s="335">
        <v>1E-4</v>
      </c>
      <c r="F48" s="337">
        <f>IFERROR($C47*IF($C$36="Worker",$H$12,$H$13), "")</f>
        <v>4.2859029173175633E-4</v>
      </c>
      <c r="G48" s="338">
        <f>IFERROR($F48/'List Values'!$B$9, "")</f>
        <v>4.2859029173175632E-5</v>
      </c>
      <c r="H48" s="338">
        <f>IFERROR($F48/'List Values'!$B$10, "")</f>
        <v>1.7143611669270252E-5</v>
      </c>
      <c r="I48" s="338">
        <f>IFERROR($F48/'List Values'!$B$11, "")</f>
        <v>8.5718058346351261E-6</v>
      </c>
      <c r="J48" s="338">
        <f>IFERROR($F48/'List Values'!$B$12, "")</f>
        <v>4.2859029173175631E-7</v>
      </c>
      <c r="K48" s="339">
        <f>IFERROR($F48/'List Values'!$B$13, "")</f>
        <v>4.2859029173175634E-8</v>
      </c>
      <c r="L48" s="333"/>
      <c r="M48" s="77"/>
      <c r="N48" s="564"/>
      <c r="O48" s="293" t="s">
        <v>27</v>
      </c>
      <c r="P48" s="602"/>
      <c r="Q48" s="321">
        <f>IFERROR($N$47*$S11, "")</f>
        <v>1E-3</v>
      </c>
      <c r="R48" s="321">
        <f>IFERROR($N$47*$S13, "")</f>
        <v>2.0000000000000001E-4</v>
      </c>
      <c r="S48" s="321">
        <f>IFERROR($N$47*$S15, "")</f>
        <v>1E-4</v>
      </c>
      <c r="T48" s="321">
        <f>IFERROR($N$47*$S17, "")</f>
        <v>5.0000000000000002E-5</v>
      </c>
    </row>
    <row r="49" spans="2:19" ht="33" customHeight="1" x14ac:dyDescent="0.2">
      <c r="B49" s="79"/>
      <c r="M49" s="77"/>
    </row>
    <row r="50" spans="2:19" ht="33" customHeight="1" x14ac:dyDescent="0.2">
      <c r="B50" s="79"/>
      <c r="M50" s="77"/>
    </row>
    <row r="51" spans="2:19" ht="33" customHeight="1" x14ac:dyDescent="0.2">
      <c r="B51" s="79"/>
      <c r="M51" s="77"/>
    </row>
    <row r="52" spans="2:19" ht="33" customHeight="1" x14ac:dyDescent="0.2">
      <c r="B52" s="79"/>
      <c r="M52" s="77"/>
    </row>
    <row r="53" spans="2:19" ht="33" customHeight="1" x14ac:dyDescent="0.2">
      <c r="B53" s="79"/>
      <c r="M53" s="77"/>
    </row>
    <row r="54" spans="2:19" ht="33" customHeight="1" x14ac:dyDescent="0.2">
      <c r="B54" s="79"/>
      <c r="M54" s="77"/>
    </row>
    <row r="55" spans="2:19" s="85" customFormat="1" ht="21" x14ac:dyDescent="0.35">
      <c r="C55" s="66"/>
      <c r="D55" s="66"/>
      <c r="E55" s="66"/>
      <c r="F55" s="66"/>
      <c r="G55" s="66"/>
      <c r="H55" s="66"/>
      <c r="I55" s="66"/>
      <c r="J55" s="66"/>
      <c r="K55" s="66"/>
      <c r="L55" s="66"/>
      <c r="N55" s="66"/>
      <c r="O55" s="66"/>
      <c r="P55" s="66"/>
      <c r="Q55" s="66"/>
      <c r="R55" s="66"/>
      <c r="S55" s="66"/>
    </row>
    <row r="56" spans="2:19" ht="25.5" customHeight="1" x14ac:dyDescent="0.2">
      <c r="B56" s="82"/>
      <c r="M56" s="90"/>
    </row>
    <row r="57" spans="2:19" ht="14.45" customHeight="1" x14ac:dyDescent="0.2">
      <c r="B57" s="82"/>
      <c r="M57" s="90"/>
    </row>
    <row r="58" spans="2:19" x14ac:dyDescent="0.2">
      <c r="B58" s="82"/>
      <c r="M58" s="89"/>
    </row>
    <row r="59" spans="2:19" ht="21" x14ac:dyDescent="0.35">
      <c r="B59" s="82"/>
      <c r="M59" s="89"/>
      <c r="N59" s="85"/>
    </row>
    <row r="63" spans="2:19" ht="29.1" customHeight="1" x14ac:dyDescent="0.2"/>
  </sheetData>
  <sheetProtection sheet="1" objects="1" scenarios="1" formatCells="0" formatColumns="0" formatRows="0"/>
  <mergeCells count="76">
    <mergeCell ref="C8:C9"/>
    <mergeCell ref="D8:D9"/>
    <mergeCell ref="N8:N9"/>
    <mergeCell ref="O8:O9"/>
    <mergeCell ref="D10:D11"/>
    <mergeCell ref="N10:N11"/>
    <mergeCell ref="Q20:Q21"/>
    <mergeCell ref="D12:D13"/>
    <mergeCell ref="N12:N13"/>
    <mergeCell ref="N14:N15"/>
    <mergeCell ref="C16:C17"/>
    <mergeCell ref="D16:D17"/>
    <mergeCell ref="E16:E17"/>
    <mergeCell ref="F16:F17"/>
    <mergeCell ref="G16:H16"/>
    <mergeCell ref="N16:N17"/>
    <mergeCell ref="C18:C19"/>
    <mergeCell ref="D18:D19"/>
    <mergeCell ref="N20:N21"/>
    <mergeCell ref="O20:O21"/>
    <mergeCell ref="P20:P21"/>
    <mergeCell ref="O22:O23"/>
    <mergeCell ref="C24:C25"/>
    <mergeCell ref="D24:D25"/>
    <mergeCell ref="N26:N27"/>
    <mergeCell ref="O26:O27"/>
    <mergeCell ref="C22:C23"/>
    <mergeCell ref="D22:D23"/>
    <mergeCell ref="E22:E23"/>
    <mergeCell ref="F22:F23"/>
    <mergeCell ref="G22:H22"/>
    <mergeCell ref="N22:N23"/>
    <mergeCell ref="Q32:Q33"/>
    <mergeCell ref="Q26:Q27"/>
    <mergeCell ref="C28:C29"/>
    <mergeCell ref="D28:D29"/>
    <mergeCell ref="E28:E29"/>
    <mergeCell ref="F28:F29"/>
    <mergeCell ref="G28:H28"/>
    <mergeCell ref="N28:N29"/>
    <mergeCell ref="O28:O29"/>
    <mergeCell ref="P26:P27"/>
    <mergeCell ref="C30:C31"/>
    <mergeCell ref="D30:D31"/>
    <mergeCell ref="N32:N33"/>
    <mergeCell ref="O32:O33"/>
    <mergeCell ref="P32:P33"/>
    <mergeCell ref="B43:B44"/>
    <mergeCell ref="C43:C44"/>
    <mergeCell ref="N43:N44"/>
    <mergeCell ref="N34:N35"/>
    <mergeCell ref="O34:O35"/>
    <mergeCell ref="B39:B40"/>
    <mergeCell ref="C39:C40"/>
    <mergeCell ref="D39:D40"/>
    <mergeCell ref="E39:E40"/>
    <mergeCell ref="F39:K39"/>
    <mergeCell ref="N39:N40"/>
    <mergeCell ref="O39:O40"/>
    <mergeCell ref="P39:P40"/>
    <mergeCell ref="Q39:T39"/>
    <mergeCell ref="B41:B42"/>
    <mergeCell ref="C41:C42"/>
    <mergeCell ref="N41:N42"/>
    <mergeCell ref="P45:P46"/>
    <mergeCell ref="Q45:T45"/>
    <mergeCell ref="B47:B48"/>
    <mergeCell ref="C47:C48"/>
    <mergeCell ref="N47:N48"/>
    <mergeCell ref="P47:P48"/>
    <mergeCell ref="C45:C46"/>
    <mergeCell ref="D45:D46"/>
    <mergeCell ref="E45:E46"/>
    <mergeCell ref="F45:K45"/>
    <mergeCell ref="N45:N46"/>
    <mergeCell ref="O45:O46"/>
  </mergeCells>
  <conditionalFormatting sqref="E10:L13">
    <cfRule type="cellIs" dxfId="319" priority="110" operator="lessThanOrEqual">
      <formula>0.1</formula>
    </cfRule>
    <cfRule type="cellIs" dxfId="318" priority="109" operator="between">
      <formula>0.1</formula>
      <formula>0.999</formula>
    </cfRule>
    <cfRule type="cellIs" dxfId="317" priority="108" operator="between">
      <formula>1</formula>
      <formula>9.999</formula>
    </cfRule>
    <cfRule type="cellIs" dxfId="316" priority="107" operator="greaterThanOrEqual">
      <formula>10</formula>
    </cfRule>
    <cfRule type="cellIs" dxfId="315" priority="106" operator="greaterThanOrEqual">
      <formula>10000</formula>
    </cfRule>
    <cfRule type="cellIs" dxfId="314" priority="117" operator="greaterThan">
      <formula>10000</formula>
    </cfRule>
    <cfRule type="cellIs" dxfId="313" priority="116" operator="greaterThan">
      <formula>10</formula>
    </cfRule>
    <cfRule type="cellIs" dxfId="312" priority="115" operator="between">
      <formula>1</formula>
      <formula>10</formula>
    </cfRule>
    <cfRule type="cellIs" dxfId="311" priority="114" operator="between">
      <formula>0.1</formula>
      <formula>0.999</formula>
    </cfRule>
    <cfRule type="cellIs" dxfId="310" priority="113" operator="lessThan">
      <formula>0.1</formula>
    </cfRule>
    <cfRule type="cellIs" dxfId="309" priority="112" operator="equal">
      <formula>0</formula>
    </cfRule>
    <cfRule type="containsBlanks" dxfId="308" priority="111" stopIfTrue="1">
      <formula>LEN(TRIM(E10))=0</formula>
    </cfRule>
  </conditionalFormatting>
  <conditionalFormatting sqref="F41:F44 L41:L44">
    <cfRule type="cellIs" dxfId="307" priority="96" operator="lessThan">
      <formula>$E$43</formula>
    </cfRule>
  </conditionalFormatting>
  <conditionalFormatting sqref="F47">
    <cfRule type="cellIs" dxfId="306" priority="105" operator="greaterThanOrEqual">
      <formula>0.0001</formula>
    </cfRule>
    <cfRule type="containsBlanks" dxfId="305" priority="104" stopIfTrue="1">
      <formula>LEN(TRIM(F47))=0</formula>
    </cfRule>
  </conditionalFormatting>
  <conditionalFormatting sqref="F47:F48">
    <cfRule type="cellIs" dxfId="304" priority="58" operator="between">
      <formula>1</formula>
      <formula>9.999</formula>
    </cfRule>
    <cfRule type="cellIs" dxfId="303" priority="59" operator="between">
      <formula>0.1</formula>
      <formula>0.999</formula>
    </cfRule>
    <cfRule type="cellIs" dxfId="302" priority="100" operator="greaterThanOrEqual">
      <formula>10</formula>
    </cfRule>
    <cfRule type="cellIs" dxfId="301" priority="99" operator="greaterThanOrEqual">
      <formula>10000</formula>
    </cfRule>
  </conditionalFormatting>
  <conditionalFormatting sqref="F48">
    <cfRule type="cellIs" dxfId="300" priority="61" operator="greaterThanOrEqual">
      <formula>0.0001</formula>
    </cfRule>
    <cfRule type="containsBlanks" dxfId="299" priority="60" stopIfTrue="1">
      <formula>LEN(TRIM(F48))=0</formula>
    </cfRule>
    <cfRule type="cellIs" dxfId="298" priority="103" operator="lessThanOrEqual">
      <formula>0.1</formula>
    </cfRule>
  </conditionalFormatting>
  <conditionalFormatting sqref="F41:L42">
    <cfRule type="cellIs" dxfId="297" priority="20" operator="greaterThanOrEqual">
      <formula>$E$41</formula>
    </cfRule>
  </conditionalFormatting>
  <conditionalFormatting sqref="F41:L44">
    <cfRule type="cellIs" dxfId="296" priority="12" operator="greaterThanOrEqual">
      <formula>10000</formula>
    </cfRule>
    <cfRule type="cellIs" dxfId="295" priority="13" operator="greaterThanOrEqual">
      <formula>10</formula>
    </cfRule>
    <cfRule type="cellIs" dxfId="294" priority="14" operator="between">
      <formula>1</formula>
      <formula>9.999</formula>
    </cfRule>
    <cfRule type="cellIs" dxfId="293" priority="15" operator="between">
      <formula>0.1</formula>
      <formula>0.999</formula>
    </cfRule>
    <cfRule type="cellIs" dxfId="292" priority="16" operator="lessThanOrEqual">
      <formula>0.1</formula>
    </cfRule>
    <cfRule type="containsBlanks" dxfId="291" priority="17" stopIfTrue="1">
      <formula>LEN(TRIM(F41))=0</formula>
    </cfRule>
  </conditionalFormatting>
  <conditionalFormatting sqref="F43:L44">
    <cfRule type="cellIs" dxfId="290" priority="18" operator="greaterThanOrEqual">
      <formula>$E$43</formula>
    </cfRule>
  </conditionalFormatting>
  <conditionalFormatting sqref="G41:K42">
    <cfRule type="cellIs" dxfId="289" priority="21" operator="lessThan">
      <formula>$E$43</formula>
    </cfRule>
  </conditionalFormatting>
  <conditionalFormatting sqref="G43:K44">
    <cfRule type="cellIs" dxfId="288" priority="19" operator="lessThan">
      <formula>$E$43</formula>
    </cfRule>
  </conditionalFormatting>
  <conditionalFormatting sqref="G48:K48">
    <cfRule type="cellIs" dxfId="287" priority="2" operator="between">
      <formula>0.1</formula>
      <formula>0.999</formula>
    </cfRule>
    <cfRule type="containsBlanks" dxfId="286" priority="3" stopIfTrue="1">
      <formula>LEN(TRIM(G48))=0</formula>
    </cfRule>
    <cfRule type="cellIs" dxfId="285" priority="4" operator="greaterThanOrEqual">
      <formula>0.0001</formula>
    </cfRule>
    <cfRule type="cellIs" dxfId="284" priority="1" operator="between">
      <formula>1</formula>
      <formula>9.999</formula>
    </cfRule>
  </conditionalFormatting>
  <conditionalFormatting sqref="G18:L19 G24:L25">
    <cfRule type="cellIs" dxfId="283" priority="139" operator="lessThan">
      <formula>$F18</formula>
    </cfRule>
    <cfRule type="containsBlanks" dxfId="282" priority="138" stopIfTrue="1">
      <formula>LEN(TRIM(G18))=0</formula>
    </cfRule>
    <cfRule type="cellIs" dxfId="281" priority="137" operator="lessThanOrEqual">
      <formula>0.1</formula>
    </cfRule>
    <cfRule type="cellIs" dxfId="280" priority="136" operator="between">
      <formula>0.1</formula>
      <formula>0.999</formula>
    </cfRule>
    <cfRule type="cellIs" dxfId="279" priority="135" operator="between">
      <formula>1</formula>
      <formula>9.999</formula>
    </cfRule>
    <cfRule type="cellIs" dxfId="278" priority="134" operator="greaterThanOrEqual">
      <formula>10</formula>
    </cfRule>
    <cfRule type="cellIs" dxfId="277" priority="133" operator="greaterThanOrEqual">
      <formula>10000</formula>
    </cfRule>
  </conditionalFormatting>
  <conditionalFormatting sqref="G30:L31 R34:R35">
    <cfRule type="cellIs" dxfId="276" priority="132" operator="greaterThan">
      <formula>0.0001</formula>
    </cfRule>
  </conditionalFormatting>
  <conditionalFormatting sqref="G30:L31">
    <cfRule type="cellIs" dxfId="275" priority="125" operator="greaterThanOrEqual">
      <formula>10000</formula>
    </cfRule>
    <cfRule type="cellIs" dxfId="274" priority="127" operator="between">
      <formula>1</formula>
      <formula>9.999</formula>
    </cfRule>
    <cfRule type="cellIs" dxfId="273" priority="126" operator="greaterThanOrEqual">
      <formula>10</formula>
    </cfRule>
    <cfRule type="cellIs" dxfId="272" priority="128" operator="between">
      <formula>0.1</formula>
      <formula>0.999</formula>
    </cfRule>
    <cfRule type="cellIs" dxfId="271" priority="131" operator="equal">
      <formula>0</formula>
    </cfRule>
    <cfRule type="containsBlanks" dxfId="270" priority="130" stopIfTrue="1">
      <formula>LEN(TRIM(G30))=0</formula>
    </cfRule>
    <cfRule type="cellIs" dxfId="269" priority="129" operator="lessThanOrEqual">
      <formula>0.1</formula>
    </cfRule>
  </conditionalFormatting>
  <conditionalFormatting sqref="G47:L47">
    <cfRule type="cellIs" dxfId="268" priority="7" operator="between">
      <formula>1</formula>
      <formula>9.999</formula>
    </cfRule>
    <cfRule type="cellIs" dxfId="267" priority="8" operator="between">
      <formula>0.1</formula>
      <formula>0.999</formula>
    </cfRule>
    <cfRule type="containsBlanks" dxfId="266" priority="10" stopIfTrue="1">
      <formula>LEN(TRIM(G47))=0</formula>
    </cfRule>
    <cfRule type="cellIs" dxfId="265" priority="11" operator="greaterThanOrEqual">
      <formula>0.0001</formula>
    </cfRule>
  </conditionalFormatting>
  <conditionalFormatting sqref="G47:L48">
    <cfRule type="cellIs" dxfId="264" priority="5" operator="greaterThanOrEqual">
      <formula>10000</formula>
    </cfRule>
    <cfRule type="cellIs" dxfId="263" priority="6" operator="greaterThanOrEqual">
      <formula>10</formula>
    </cfRule>
  </conditionalFormatting>
  <conditionalFormatting sqref="G48:L48">
    <cfRule type="cellIs" dxfId="262" priority="9" operator="lessThanOrEqual">
      <formula>0.1</formula>
    </cfRule>
  </conditionalFormatting>
  <conditionalFormatting sqref="P10:S17">
    <cfRule type="cellIs" dxfId="261" priority="23" operator="greaterThanOrEqual">
      <formula>10</formula>
    </cfRule>
    <cfRule type="cellIs" dxfId="260" priority="24" operator="between">
      <formula>1</formula>
      <formula>9.999</formula>
    </cfRule>
    <cfRule type="cellIs" dxfId="259" priority="25" operator="between">
      <formula>0.1</formula>
      <formula>0.999</formula>
    </cfRule>
    <cfRule type="cellIs" dxfId="258" priority="31" operator="between">
      <formula>1</formula>
      <formula>10</formula>
    </cfRule>
    <cfRule type="cellIs" dxfId="257" priority="33" operator="greaterThan">
      <formula>10000</formula>
    </cfRule>
    <cfRule type="cellIs" dxfId="256" priority="32" operator="greaterThan">
      <formula>10</formula>
    </cfRule>
    <cfRule type="cellIs" dxfId="255" priority="22" operator="greaterThanOrEqual">
      <formula>10000</formula>
    </cfRule>
    <cfRule type="cellIs" dxfId="254" priority="30" operator="between">
      <formula>0.1</formula>
      <formula>0.999</formula>
    </cfRule>
    <cfRule type="cellIs" dxfId="253" priority="29" operator="lessThan">
      <formula>0.1</formula>
    </cfRule>
    <cfRule type="cellIs" dxfId="252" priority="28" operator="equal">
      <formula>0</formula>
    </cfRule>
    <cfRule type="containsBlanks" dxfId="251" priority="27" stopIfTrue="1">
      <formula>LEN(TRIM(P10))=0</formula>
    </cfRule>
    <cfRule type="cellIs" dxfId="250" priority="26" operator="lessThanOrEqual">
      <formula>0.1</formula>
    </cfRule>
  </conditionalFormatting>
  <conditionalFormatting sqref="Q41:T42">
    <cfRule type="cellIs" dxfId="249" priority="76" operator="lessThan">
      <formula>$P$41</formula>
    </cfRule>
    <cfRule type="cellIs" dxfId="248" priority="75" operator="greaterThanOrEqual">
      <formula>$P$41</formula>
    </cfRule>
  </conditionalFormatting>
  <conditionalFormatting sqref="Q41:T44">
    <cfRule type="cellIs" dxfId="247" priority="62" operator="between">
      <formula>1</formula>
      <formula>9.999</formula>
    </cfRule>
    <cfRule type="cellIs" dxfId="246" priority="63" operator="between">
      <formula>0.1</formula>
      <formula>0.999</formula>
    </cfRule>
    <cfRule type="containsBlanks" dxfId="245" priority="64" stopIfTrue="1">
      <formula>LEN(TRIM(Q41))=0</formula>
    </cfRule>
    <cfRule type="cellIs" dxfId="244" priority="65" operator="greaterThanOrEqual">
      <formula>10000</formula>
    </cfRule>
    <cfRule type="cellIs" dxfId="243" priority="66" operator="greaterThanOrEqual">
      <formula>10</formula>
    </cfRule>
    <cfRule type="cellIs" dxfId="242" priority="67" operator="lessThanOrEqual">
      <formula>0.1</formula>
    </cfRule>
  </conditionalFormatting>
  <conditionalFormatting sqref="Q43:T44">
    <cfRule type="cellIs" dxfId="241" priority="68" operator="greaterThanOrEqual">
      <formula>$P$43</formula>
    </cfRule>
    <cfRule type="cellIs" dxfId="240" priority="69" operator="lessThan">
      <formula>$P$43</formula>
    </cfRule>
  </conditionalFormatting>
  <conditionalFormatting sqref="Q47:T48">
    <cfRule type="cellIs" dxfId="239" priority="71" operator="between">
      <formula>1</formula>
      <formula>100</formula>
    </cfRule>
    <cfRule type="cellIs" dxfId="238" priority="70" operator="greaterThan">
      <formula>100</formula>
    </cfRule>
    <cfRule type="cellIs" dxfId="237" priority="74" operator="greaterThanOrEqual">
      <formula>0.0001</formula>
    </cfRule>
    <cfRule type="containsBlanks" dxfId="236" priority="73" stopIfTrue="1">
      <formula>LEN(TRIM(Q47))=0</formula>
    </cfRule>
    <cfRule type="cellIs" dxfId="235" priority="72" operator="lessThanOrEqual">
      <formula>0.1</formula>
    </cfRule>
  </conditionalFormatting>
  <conditionalFormatting sqref="R22:R23 R28:R29">
    <cfRule type="cellIs" dxfId="234" priority="118" operator="greaterThanOrEqual">
      <formula>10000</formula>
    </cfRule>
    <cfRule type="cellIs" dxfId="233" priority="119" operator="greaterThanOrEqual">
      <formula>10</formula>
    </cfRule>
    <cfRule type="cellIs" dxfId="232" priority="120" operator="between">
      <formula>1</formula>
      <formula>9.999</formula>
    </cfRule>
    <cfRule type="cellIs" dxfId="231" priority="121" operator="between">
      <formula>0.1</formula>
      <formula>0.999</formula>
    </cfRule>
    <cfRule type="cellIs" dxfId="230" priority="122" operator="lessThanOrEqual">
      <formula>0.1</formula>
    </cfRule>
    <cfRule type="containsBlanks" dxfId="229" priority="123" stopIfTrue="1">
      <formula>LEN(TRIM(R22))=0</formula>
    </cfRule>
    <cfRule type="cellIs" dxfId="228" priority="124" operator="lessThan">
      <formula>$Q22</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00295-F136-4533-9F88-77D036360D01}">
  <dimension ref="B1:U63"/>
  <sheetViews>
    <sheetView topLeftCell="G1" zoomScale="106" zoomScaleNormal="106" workbookViewId="0">
      <selection activeCell="S9" sqref="S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12" width="15.85546875" style="66" customWidth="1"/>
    <col min="13" max="13" width="12.85546875" style="66" customWidth="1"/>
    <col min="14" max="14" width="26.5703125" style="66" customWidth="1"/>
    <col min="15" max="15" width="28.42578125" style="66" customWidth="1"/>
    <col min="16" max="19" width="14.85546875" style="66" customWidth="1"/>
    <col min="20" max="21" width="13.5703125" style="66" customWidth="1"/>
    <col min="22" max="16384" width="8.7109375" style="66"/>
  </cols>
  <sheetData>
    <row r="1" spans="2:21" ht="21" x14ac:dyDescent="0.35">
      <c r="C1" s="83"/>
    </row>
    <row r="2" spans="2:21" ht="21" x14ac:dyDescent="0.35">
      <c r="C2" s="83" t="s">
        <v>462</v>
      </c>
      <c r="M2" s="68"/>
      <c r="T2" s="67"/>
    </row>
    <row r="3" spans="2:21" ht="15.75" x14ac:dyDescent="0.25">
      <c r="C3" s="67"/>
      <c r="M3" s="68"/>
      <c r="T3" s="67"/>
    </row>
    <row r="4" spans="2:21" ht="21" x14ac:dyDescent="0.35">
      <c r="C4" s="84" t="s">
        <v>83</v>
      </c>
      <c r="D4" s="85"/>
      <c r="E4" s="85"/>
      <c r="F4" s="85"/>
      <c r="G4" s="85"/>
      <c r="H4" s="85"/>
      <c r="I4" s="85"/>
      <c r="J4" s="85"/>
      <c r="K4" s="85"/>
      <c r="L4" s="85"/>
      <c r="N4" s="84" t="s">
        <v>29</v>
      </c>
      <c r="T4" s="67"/>
    </row>
    <row r="5" spans="2:21" ht="21" x14ac:dyDescent="0.35">
      <c r="C5" s="85"/>
      <c r="D5" s="85"/>
      <c r="E5" s="85"/>
      <c r="F5" s="85"/>
      <c r="G5" s="85"/>
      <c r="H5" s="85"/>
      <c r="I5" s="85"/>
      <c r="J5" s="85"/>
      <c r="K5" s="85"/>
      <c r="L5" s="85"/>
      <c r="N5" s="83"/>
      <c r="T5" s="67"/>
    </row>
    <row r="6" spans="2:21" ht="21" x14ac:dyDescent="0.35">
      <c r="C6" s="83" t="s">
        <v>84</v>
      </c>
      <c r="D6" s="85"/>
      <c r="E6" s="85"/>
      <c r="F6" s="85"/>
      <c r="G6" s="85"/>
      <c r="H6" s="85"/>
      <c r="I6" s="85"/>
      <c r="J6" s="85"/>
      <c r="K6" s="85"/>
      <c r="L6" s="85"/>
      <c r="N6" s="83" t="s">
        <v>84</v>
      </c>
      <c r="T6" s="67"/>
    </row>
    <row r="7" spans="2:21" ht="15.75" x14ac:dyDescent="0.25">
      <c r="C7" s="67"/>
      <c r="M7" s="68"/>
      <c r="T7" s="67"/>
    </row>
    <row r="8" spans="2:21" ht="38.25" x14ac:dyDescent="0.25">
      <c r="C8" s="592" t="s">
        <v>85</v>
      </c>
      <c r="D8" s="593" t="s">
        <v>23</v>
      </c>
      <c r="E8" s="411" t="s">
        <v>86</v>
      </c>
      <c r="F8" s="411" t="s">
        <v>87</v>
      </c>
      <c r="G8" s="411" t="s">
        <v>89</v>
      </c>
      <c r="H8" s="411" t="s">
        <v>90</v>
      </c>
      <c r="I8" s="291"/>
      <c r="J8" s="291"/>
      <c r="K8" s="291"/>
      <c r="L8" s="291"/>
      <c r="M8" s="1"/>
      <c r="N8" s="592" t="s">
        <v>85</v>
      </c>
      <c r="O8" s="592" t="s">
        <v>23</v>
      </c>
      <c r="P8" s="411" t="s">
        <v>91</v>
      </c>
      <c r="Q8" s="411" t="s">
        <v>92</v>
      </c>
      <c r="R8" s="411" t="s">
        <v>94</v>
      </c>
      <c r="S8" s="411" t="s">
        <v>95</v>
      </c>
      <c r="U8" s="67"/>
    </row>
    <row r="9" spans="2:21" ht="27" x14ac:dyDescent="0.25">
      <c r="C9" s="592"/>
      <c r="D9" s="593"/>
      <c r="E9" s="411" t="s">
        <v>192</v>
      </c>
      <c r="F9" s="411" t="s">
        <v>193</v>
      </c>
      <c r="G9" s="411" t="s">
        <v>194</v>
      </c>
      <c r="H9" s="411" t="s">
        <v>195</v>
      </c>
      <c r="I9" s="291"/>
      <c r="J9" s="291"/>
      <c r="K9" s="291"/>
      <c r="L9" s="291"/>
      <c r="M9" s="1"/>
      <c r="N9" s="592"/>
      <c r="O9" s="592"/>
      <c r="P9" s="411" t="s">
        <v>100</v>
      </c>
      <c r="Q9" s="411" t="s">
        <v>196</v>
      </c>
      <c r="R9" s="411" t="s">
        <v>197</v>
      </c>
      <c r="S9" s="411" t="s">
        <v>510</v>
      </c>
      <c r="U9" s="67"/>
    </row>
    <row r="10" spans="2:21" ht="15.75" x14ac:dyDescent="0.25">
      <c r="C10" s="88" t="s">
        <v>30</v>
      </c>
      <c r="D10" s="594" t="s">
        <v>103</v>
      </c>
      <c r="E10" s="316">
        <f>'Inhalation Exposures'!I73</f>
        <v>4.3568698611165212E-2</v>
      </c>
      <c r="F10" s="316">
        <f>'Inhalation Exposures'!K73</f>
        <v>2.9638570483785862E-2</v>
      </c>
      <c r="G10" s="316">
        <f>'Inhalation Exposures'!O73</f>
        <v>2.0300390742319079E-2</v>
      </c>
      <c r="H10" s="316">
        <f>'Inhalation Exposures'!Q73</f>
        <v>1.0410456790932863E-2</v>
      </c>
      <c r="I10" s="329"/>
      <c r="J10" s="329"/>
      <c r="K10" s="329"/>
      <c r="L10" s="329"/>
      <c r="M10" s="1"/>
      <c r="N10" s="595" t="s">
        <v>104</v>
      </c>
      <c r="O10" s="72" t="s">
        <v>103</v>
      </c>
      <c r="P10" s="316">
        <f>IFERROR(INDEX('Dermal Exposures'!$J$33:$J$34, MATCH(CTC_operator!$C$2, 'Dermal Exposures'!$A$33:$A$34, 0)), "")</f>
        <v>15.95</v>
      </c>
      <c r="Q10" s="316">
        <f>IFERROR(INDEX('Dermal Exposures'!$K$33:$K$34, MATCH(CTC_operator!$C$2, 'Dermal Exposures'!$A$33:$A$34, 0)), "")</f>
        <v>0.2</v>
      </c>
      <c r="R10" s="316">
        <f>IFERROR(INDEX('Dermal Exposures'!$M$33:$M$34, MATCH(CTC_operator!$C$2, 'Dermal Exposures'!$A$33:$A$34, 0)), "")</f>
        <v>0.14000000000000001</v>
      </c>
      <c r="S10" s="316">
        <f>IFERROR(INDEX('Dermal Exposures'!$N$33:$N$34, MATCH(CTC_operator!$C$2, 'Dermal Exposures'!$A$33:$A$34, 0)), "")</f>
        <v>0.06</v>
      </c>
      <c r="U10" s="67"/>
    </row>
    <row r="11" spans="2:21" ht="15.75" x14ac:dyDescent="0.25">
      <c r="C11" s="88" t="s">
        <v>28</v>
      </c>
      <c r="D11" s="594"/>
      <c r="E11" s="316">
        <f>'Inhalation Exposures'!I81</f>
        <v>0.28046726481624995</v>
      </c>
      <c r="F11" s="316">
        <f>'Inhalation Exposures'!K81</f>
        <v>0.19079405769812921</v>
      </c>
      <c r="G11" s="316">
        <f>'Inhalation Exposures'!O81</f>
        <v>0.13068086143707483</v>
      </c>
      <c r="H11" s="316">
        <f>'Inhalation Exposures'!Q81</f>
        <v>6.7015826377987087E-2</v>
      </c>
      <c r="I11" s="329"/>
      <c r="J11" s="329"/>
      <c r="K11" s="329"/>
      <c r="L11" s="329"/>
      <c r="M11" s="1"/>
      <c r="N11" s="595"/>
      <c r="O11" s="72" t="s">
        <v>27</v>
      </c>
      <c r="P11" s="316">
        <f>IFERROR(INDEX('Dermal Exposures'!$O$33:$O$34, MATCH(CTC_operator!$C$2, 'Dermal Exposures'!$A$33:$A$34, 0)), "")</f>
        <v>5.96</v>
      </c>
      <c r="Q11" s="316">
        <f>IFERROR(INDEX('Dermal Exposures'!$P$33:$P$34, MATCH(CTC_operator!$C$2, 'Dermal Exposures'!$A$33:$A$34, 0)), "")</f>
        <v>7.0000000000000007E-2</v>
      </c>
      <c r="R11" s="316">
        <f>IFERROR(INDEX('Dermal Exposures'!$R$33:$R$34, MATCH(CTC_operator!$C$2, 'Dermal Exposures'!$A$33:$A$34, 0)), "")</f>
        <v>0.05</v>
      </c>
      <c r="S11" s="316">
        <f>IFERROR(INDEX('Dermal Exposures'!$S$33:$S$34, MATCH(CTC_operator!$C$2, 'Dermal Exposures'!$A$33:$A$34, 0)), "")</f>
        <v>0.02</v>
      </c>
      <c r="U11" s="67"/>
    </row>
    <row r="12" spans="2:21" ht="15.75" x14ac:dyDescent="0.25">
      <c r="C12" s="88" t="s">
        <v>30</v>
      </c>
      <c r="D12" s="591" t="s">
        <v>27</v>
      </c>
      <c r="E12" s="316">
        <f>'Inhalation Exposures'!J73</f>
        <v>1.0252605842152188E-2</v>
      </c>
      <c r="F12" s="316">
        <f>'Inhalation Exposures'!L73</f>
        <v>6.9745617973824411E-3</v>
      </c>
      <c r="G12" s="316">
        <f>'Inhalation Exposures'!P73</f>
        <v>4.777097121494823E-3</v>
      </c>
      <c r="H12" s="316">
        <f>'Inhalation Exposures'!R73</f>
        <v>1.8985898816197373E-3</v>
      </c>
      <c r="I12" s="329"/>
      <c r="J12" s="329"/>
      <c r="K12" s="329"/>
      <c r="L12" s="329"/>
      <c r="M12" s="1"/>
      <c r="N12" s="565" t="s">
        <v>464</v>
      </c>
      <c r="O12" s="71" t="s">
        <v>103</v>
      </c>
      <c r="P12" s="316">
        <f>P10/'List Values'!$B$16</f>
        <v>3.19</v>
      </c>
      <c r="Q12" s="316">
        <f>Q10/'List Values'!$B$16</f>
        <v>0.04</v>
      </c>
      <c r="R12" s="316">
        <f>R10/'List Values'!$B$16</f>
        <v>2.8000000000000004E-2</v>
      </c>
      <c r="S12" s="316">
        <f>S10/'List Values'!$B$16</f>
        <v>1.2E-2</v>
      </c>
      <c r="T12" s="67"/>
    </row>
    <row r="13" spans="2:21" ht="15.75" x14ac:dyDescent="0.25">
      <c r="C13" s="88" t="s">
        <v>28</v>
      </c>
      <c r="D13" s="591"/>
      <c r="E13" s="316">
        <f>'Inhalation Exposures'!J81</f>
        <v>6.1314082626080742E-2</v>
      </c>
      <c r="F13" s="316">
        <f>'Inhalation Exposures'!L81</f>
        <v>4.1710260289850844E-2</v>
      </c>
      <c r="G13" s="316">
        <f>'Inhalation Exposures'!P81</f>
        <v>2.8568671431404687E-2</v>
      </c>
      <c r="H13" s="316">
        <f>'Inhalation Exposures'!R81</f>
        <v>1.1354215568891607E-2</v>
      </c>
      <c r="I13" s="329"/>
      <c r="J13" s="329"/>
      <c r="K13" s="329"/>
      <c r="L13" s="329"/>
      <c r="M13" s="1"/>
      <c r="N13" s="565"/>
      <c r="O13" s="71" t="s">
        <v>27</v>
      </c>
      <c r="P13" s="316">
        <f>P11/'List Values'!$B$16</f>
        <v>1.1919999999999999</v>
      </c>
      <c r="Q13" s="316">
        <f>Q11/'List Values'!$B$16</f>
        <v>1.4000000000000002E-2</v>
      </c>
      <c r="R13" s="316">
        <f>R11/'List Values'!$B$16</f>
        <v>0.01</v>
      </c>
      <c r="S13" s="316">
        <f>S11/'List Values'!$B$16</f>
        <v>4.0000000000000001E-3</v>
      </c>
      <c r="T13" s="67"/>
    </row>
    <row r="14" spans="2:21" x14ac:dyDescent="0.2">
      <c r="N14" s="565" t="s">
        <v>465</v>
      </c>
      <c r="O14" s="71" t="s">
        <v>103</v>
      </c>
      <c r="P14" s="316">
        <f>P10/'List Values'!$B$17</f>
        <v>1.595</v>
      </c>
      <c r="Q14" s="316">
        <f>Q10/'List Values'!$B$17</f>
        <v>0.02</v>
      </c>
      <c r="R14" s="316">
        <f>R10/'List Values'!$B$17</f>
        <v>1.4000000000000002E-2</v>
      </c>
      <c r="S14" s="316">
        <f>S10/'List Values'!$B$17</f>
        <v>6.0000000000000001E-3</v>
      </c>
    </row>
    <row r="15" spans="2:21" ht="21" x14ac:dyDescent="0.35">
      <c r="C15" s="83" t="s">
        <v>105</v>
      </c>
      <c r="N15" s="565"/>
      <c r="O15" s="71" t="s">
        <v>27</v>
      </c>
      <c r="P15" s="316">
        <f>P11/'List Values'!$B$17</f>
        <v>0.59599999999999997</v>
      </c>
      <c r="Q15" s="316">
        <f>Q11/'List Values'!$B$17</f>
        <v>7.000000000000001E-3</v>
      </c>
      <c r="R15" s="316">
        <f>R11/'List Values'!$B$17</f>
        <v>5.0000000000000001E-3</v>
      </c>
      <c r="S15" s="316">
        <f>S11/'List Values'!$B$17</f>
        <v>2E-3</v>
      </c>
    </row>
    <row r="16" spans="2:21" ht="28.5" customHeight="1" x14ac:dyDescent="0.2">
      <c r="B16" s="70"/>
      <c r="C16" s="568" t="s">
        <v>106</v>
      </c>
      <c r="D16" s="568" t="s">
        <v>107</v>
      </c>
      <c r="E16" s="568" t="s">
        <v>23</v>
      </c>
      <c r="F16" s="568" t="s">
        <v>108</v>
      </c>
      <c r="G16" s="568" t="s">
        <v>109</v>
      </c>
      <c r="H16" s="568"/>
      <c r="I16" s="90"/>
      <c r="J16" s="90"/>
      <c r="K16" s="90"/>
      <c r="L16" s="90"/>
      <c r="M16" s="90"/>
      <c r="N16" s="565" t="s">
        <v>466</v>
      </c>
      <c r="O16" s="71" t="s">
        <v>103</v>
      </c>
      <c r="P16" s="316">
        <f>P10/'List Values'!$B$18</f>
        <v>0.79749999999999999</v>
      </c>
      <c r="Q16" s="316">
        <f>Q10/'List Values'!$B$18</f>
        <v>0.01</v>
      </c>
      <c r="R16" s="316">
        <f>R10/'List Values'!$B$18</f>
        <v>7.000000000000001E-3</v>
      </c>
      <c r="S16" s="316">
        <f>S10/'List Values'!$B$18</f>
        <v>3.0000000000000001E-3</v>
      </c>
    </row>
    <row r="17" spans="2:19" ht="26.1" customHeight="1" x14ac:dyDescent="0.2">
      <c r="B17" s="70"/>
      <c r="C17" s="568"/>
      <c r="D17" s="568"/>
      <c r="E17" s="568"/>
      <c r="F17" s="568"/>
      <c r="G17" s="413" t="s">
        <v>110</v>
      </c>
      <c r="H17" s="413" t="s">
        <v>111</v>
      </c>
      <c r="I17" s="90"/>
      <c r="J17" s="90"/>
      <c r="K17" s="90"/>
      <c r="L17" s="90"/>
      <c r="M17" s="90"/>
      <c r="N17" s="565"/>
      <c r="O17" s="71" t="s">
        <v>27</v>
      </c>
      <c r="P17" s="316">
        <f>P11/'List Values'!$B$18</f>
        <v>0.29799999999999999</v>
      </c>
      <c r="Q17" s="316">
        <f>Q11/'List Values'!$B$18</f>
        <v>3.5000000000000005E-3</v>
      </c>
      <c r="R17" s="316">
        <f>R11/'List Values'!$B$18</f>
        <v>2.5000000000000001E-3</v>
      </c>
      <c r="S17" s="316">
        <f>S11/'List Values'!$B$18</f>
        <v>1E-3</v>
      </c>
    </row>
    <row r="18" spans="2:19" ht="27.6" customHeight="1" x14ac:dyDescent="0.2">
      <c r="B18" s="70"/>
      <c r="C18" s="577" t="s">
        <v>198</v>
      </c>
      <c r="D18" s="580">
        <v>37.194773111428944</v>
      </c>
      <c r="E18" s="71" t="s">
        <v>103</v>
      </c>
      <c r="F18" s="100">
        <v>10</v>
      </c>
      <c r="G18" s="101">
        <f>D18/$F$10</f>
        <v>1254.9449080810693</v>
      </c>
      <c r="H18" s="102">
        <f>D18/$F$11</f>
        <v>194.94723032872344</v>
      </c>
      <c r="I18" s="330"/>
      <c r="J18" s="330"/>
      <c r="K18" s="330"/>
      <c r="L18" s="330"/>
      <c r="M18" s="77"/>
    </row>
    <row r="19" spans="2:19" ht="25.5" customHeight="1" x14ac:dyDescent="0.35">
      <c r="B19" s="70"/>
      <c r="C19" s="577"/>
      <c r="D19" s="555"/>
      <c r="E19" s="71" t="s">
        <v>27</v>
      </c>
      <c r="F19" s="100">
        <v>10</v>
      </c>
      <c r="G19" s="101">
        <f>D18/$F$12</f>
        <v>5332.9189979201519</v>
      </c>
      <c r="H19" s="102">
        <f>D18/$F$13</f>
        <v>891.74157276787287</v>
      </c>
      <c r="I19" s="330"/>
      <c r="J19" s="330"/>
      <c r="K19" s="330"/>
      <c r="L19" s="330"/>
      <c r="M19" s="77"/>
      <c r="N19" s="83" t="s">
        <v>113</v>
      </c>
    </row>
    <row r="20" spans="2:19"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19" s="85" customFormat="1" ht="27.75" x14ac:dyDescent="0.35">
      <c r="B21" s="83"/>
      <c r="C21" s="83" t="s">
        <v>122</v>
      </c>
      <c r="F21" s="86"/>
      <c r="N21" s="571"/>
      <c r="O21" s="571"/>
      <c r="P21" s="571"/>
      <c r="Q21" s="571"/>
      <c r="R21" s="422" t="s">
        <v>116</v>
      </c>
      <c r="S21" s="66"/>
    </row>
    <row r="22" spans="2:19" ht="33" customHeight="1" x14ac:dyDescent="0.2">
      <c r="B22" s="79"/>
      <c r="C22" s="568" t="s">
        <v>106</v>
      </c>
      <c r="D22" s="568" t="s">
        <v>107</v>
      </c>
      <c r="E22" s="568" t="s">
        <v>23</v>
      </c>
      <c r="F22" s="568" t="s">
        <v>108</v>
      </c>
      <c r="G22" s="568" t="s">
        <v>123</v>
      </c>
      <c r="H22" s="568"/>
      <c r="I22" s="90"/>
      <c r="J22" s="90"/>
      <c r="K22" s="90"/>
      <c r="L22" s="90"/>
      <c r="M22" s="90"/>
      <c r="N22" s="577" t="s">
        <v>199</v>
      </c>
      <c r="O22" s="589">
        <v>17</v>
      </c>
      <c r="P22" s="72" t="s">
        <v>103</v>
      </c>
      <c r="Q22" s="412">
        <v>30</v>
      </c>
      <c r="R22" s="101">
        <f>IFERROR(O22/Q10, "")</f>
        <v>85</v>
      </c>
    </row>
    <row r="23" spans="2:19" ht="24" customHeight="1" x14ac:dyDescent="0.2">
      <c r="B23" s="79"/>
      <c r="C23" s="582"/>
      <c r="D23" s="568"/>
      <c r="E23" s="568"/>
      <c r="F23" s="568"/>
      <c r="G23" s="413" t="s">
        <v>110</v>
      </c>
      <c r="H23" s="413" t="s">
        <v>111</v>
      </c>
      <c r="I23" s="90"/>
      <c r="J23" s="90"/>
      <c r="K23" s="90"/>
      <c r="L23" s="90"/>
      <c r="M23" s="90"/>
      <c r="N23" s="577"/>
      <c r="O23" s="590"/>
      <c r="P23" s="72" t="s">
        <v>27</v>
      </c>
      <c r="Q23" s="412">
        <v>30</v>
      </c>
      <c r="R23" s="101">
        <f>IFERROR(O22/Q11, "")</f>
        <v>242.85714285714283</v>
      </c>
    </row>
    <row r="24" spans="2:19" ht="33" customHeight="1" x14ac:dyDescent="0.2">
      <c r="B24" s="79"/>
      <c r="C24" s="577" t="s">
        <v>200</v>
      </c>
      <c r="D24" s="578">
        <v>2.2730139123651023</v>
      </c>
      <c r="E24" s="72" t="s">
        <v>103</v>
      </c>
      <c r="F24" s="100">
        <v>30</v>
      </c>
      <c r="G24" s="419">
        <f>D24/$G$10</f>
        <v>111.96897346545545</v>
      </c>
      <c r="H24" s="419">
        <f>D24/$G$11</f>
        <v>17.393625105996101</v>
      </c>
      <c r="I24" s="96"/>
      <c r="J24" s="96"/>
      <c r="K24" s="96"/>
      <c r="L24" s="96"/>
      <c r="M24" s="77"/>
      <c r="N24" s="74"/>
      <c r="O24" s="75"/>
      <c r="P24" s="81"/>
      <c r="R24" s="77"/>
    </row>
    <row r="25" spans="2:19" ht="33" customHeight="1" x14ac:dyDescent="0.35">
      <c r="B25" s="79"/>
      <c r="C25" s="577"/>
      <c r="D25" s="559"/>
      <c r="E25" s="72" t="s">
        <v>27</v>
      </c>
      <c r="F25" s="100">
        <v>30</v>
      </c>
      <c r="G25" s="419">
        <f>D24/$G$12</f>
        <v>475.81488392554246</v>
      </c>
      <c r="H25" s="419">
        <f>D24/$G$13</f>
        <v>79.563164770289106</v>
      </c>
      <c r="I25" s="96"/>
      <c r="J25" s="96"/>
      <c r="K25" s="96"/>
      <c r="L25" s="96"/>
      <c r="M25" s="77"/>
      <c r="N25" s="83" t="s">
        <v>125</v>
      </c>
      <c r="O25" s="85"/>
      <c r="P25" s="85"/>
      <c r="Q25" s="85"/>
      <c r="R25" s="85"/>
      <c r="S25" s="85"/>
    </row>
    <row r="26" spans="2:19" ht="25.5" x14ac:dyDescent="0.2">
      <c r="B26" s="79"/>
      <c r="C26" s="80"/>
      <c r="D26" s="75"/>
      <c r="E26" s="81"/>
      <c r="F26" s="75"/>
      <c r="G26" s="77"/>
      <c r="H26" s="77"/>
      <c r="I26" s="77"/>
      <c r="J26" s="77"/>
      <c r="K26" s="77"/>
      <c r="L26" s="77"/>
      <c r="M26" s="77"/>
      <c r="N26" s="566" t="s">
        <v>106</v>
      </c>
      <c r="O26" s="566" t="s">
        <v>121</v>
      </c>
      <c r="P26" s="566" t="s">
        <v>23</v>
      </c>
      <c r="Q26" s="566" t="s">
        <v>108</v>
      </c>
      <c r="R26" s="411" t="s">
        <v>123</v>
      </c>
    </row>
    <row r="27" spans="2:19" ht="33" customHeight="1" x14ac:dyDescent="0.35">
      <c r="B27" s="79"/>
      <c r="C27" s="83" t="s">
        <v>126</v>
      </c>
      <c r="D27" s="85"/>
      <c r="E27" s="85"/>
      <c r="F27" s="85"/>
      <c r="G27" s="85"/>
      <c r="H27" s="85"/>
      <c r="I27" s="85"/>
      <c r="J27" s="85"/>
      <c r="K27" s="85"/>
      <c r="L27" s="85"/>
      <c r="M27" s="77"/>
      <c r="N27" s="581"/>
      <c r="O27" s="567"/>
      <c r="P27" s="567"/>
      <c r="Q27" s="567"/>
      <c r="R27" s="411" t="s">
        <v>116</v>
      </c>
    </row>
    <row r="28" spans="2:19" ht="33" customHeight="1" x14ac:dyDescent="0.2">
      <c r="B28" s="79"/>
      <c r="C28" s="582" t="s">
        <v>127</v>
      </c>
      <c r="D28" s="566" t="s">
        <v>128</v>
      </c>
      <c r="E28" s="566" t="s">
        <v>23</v>
      </c>
      <c r="F28" s="583" t="s">
        <v>129</v>
      </c>
      <c r="G28" s="568" t="s">
        <v>130</v>
      </c>
      <c r="H28" s="568"/>
      <c r="I28" s="90"/>
      <c r="J28" s="90"/>
      <c r="K28" s="90"/>
      <c r="L28" s="90"/>
      <c r="M28" s="77"/>
      <c r="N28" s="577" t="s">
        <v>200</v>
      </c>
      <c r="O28" s="580">
        <v>1.7</v>
      </c>
      <c r="P28" s="72" t="s">
        <v>103</v>
      </c>
      <c r="Q28" s="412">
        <v>30</v>
      </c>
      <c r="R28" s="107">
        <f>IFERROR(O28/$R$10, "")</f>
        <v>12.142857142857141</v>
      </c>
    </row>
    <row r="29" spans="2:19" ht="33" customHeight="1" x14ac:dyDescent="0.2">
      <c r="B29" s="79"/>
      <c r="C29" s="608"/>
      <c r="D29" s="567"/>
      <c r="E29" s="567"/>
      <c r="F29" s="584"/>
      <c r="G29" s="413" t="s">
        <v>131</v>
      </c>
      <c r="H29" s="413" t="s">
        <v>28</v>
      </c>
      <c r="I29" s="90"/>
      <c r="J29" s="90"/>
      <c r="K29" s="90"/>
      <c r="L29" s="90"/>
      <c r="M29" s="77"/>
      <c r="N29" s="577"/>
      <c r="O29" s="555"/>
      <c r="P29" s="72" t="s">
        <v>27</v>
      </c>
      <c r="Q29" s="412">
        <v>30</v>
      </c>
      <c r="R29" s="107">
        <f>IFERROR(O28/$R$11, "")</f>
        <v>34</v>
      </c>
    </row>
    <row r="30" spans="2:19" ht="33" customHeight="1" x14ac:dyDescent="0.2">
      <c r="B30" s="79"/>
      <c r="C30" s="604" t="s">
        <v>201</v>
      </c>
      <c r="D30" s="574">
        <v>3.7747239263803682E-2</v>
      </c>
      <c r="E30" s="71" t="s">
        <v>103</v>
      </c>
      <c r="F30" s="106">
        <v>1E-4</v>
      </c>
      <c r="G30" s="103">
        <f>H10*D30</f>
        <v>3.9296600333283262E-4</v>
      </c>
      <c r="H30" s="403">
        <f>H11*D30</f>
        <v>2.5296624327514048E-3</v>
      </c>
      <c r="I30" s="331"/>
      <c r="J30" s="331"/>
      <c r="K30" s="331"/>
      <c r="L30" s="331"/>
      <c r="M30" s="77"/>
    </row>
    <row r="31" spans="2:19" ht="33" customHeight="1" x14ac:dyDescent="0.35">
      <c r="B31" s="79"/>
      <c r="C31" s="604"/>
      <c r="D31" s="575"/>
      <c r="E31" s="71" t="s">
        <v>27</v>
      </c>
      <c r="F31" s="106">
        <v>1E-4</v>
      </c>
      <c r="G31" s="105">
        <f>H12*D30</f>
        <v>7.1666526525336936E-5</v>
      </c>
      <c r="H31" s="289">
        <f>H13*D30</f>
        <v>4.2859029173175633E-4</v>
      </c>
      <c r="I31" s="336"/>
      <c r="J31" s="336"/>
      <c r="K31" s="336"/>
      <c r="L31" s="336"/>
      <c r="M31" s="77"/>
      <c r="N31" s="83" t="s">
        <v>126</v>
      </c>
      <c r="O31" s="85"/>
      <c r="P31" s="85"/>
      <c r="R31" s="85"/>
    </row>
    <row r="32" spans="2:19" ht="33" customHeight="1" x14ac:dyDescent="0.2">
      <c r="B32" s="79"/>
      <c r="I32" s="77"/>
      <c r="J32" s="77"/>
      <c r="K32" s="77"/>
      <c r="L32" s="77"/>
      <c r="M32" s="77"/>
      <c r="N32" s="566" t="s">
        <v>127</v>
      </c>
      <c r="O32" s="566" t="s">
        <v>133</v>
      </c>
      <c r="P32" s="566" t="s">
        <v>23</v>
      </c>
      <c r="Q32" s="566" t="s">
        <v>129</v>
      </c>
      <c r="R32" s="411" t="s">
        <v>130</v>
      </c>
    </row>
    <row r="33" spans="2:20" ht="33" customHeight="1" x14ac:dyDescent="0.35">
      <c r="B33" s="79"/>
      <c r="C33" s="83" t="s">
        <v>134</v>
      </c>
      <c r="I33" s="77"/>
      <c r="J33" s="77"/>
      <c r="K33" s="77"/>
      <c r="L33" s="77"/>
      <c r="M33" s="77"/>
      <c r="N33" s="581"/>
      <c r="O33" s="567"/>
      <c r="P33" s="567"/>
      <c r="Q33" s="567"/>
      <c r="R33" s="411" t="s">
        <v>135</v>
      </c>
    </row>
    <row r="34" spans="2:20" ht="33" customHeight="1" thickBot="1" x14ac:dyDescent="0.4">
      <c r="B34" s="79"/>
      <c r="C34" s="83"/>
      <c r="I34" s="77"/>
      <c r="J34" s="77"/>
      <c r="K34" s="77"/>
      <c r="L34" s="77"/>
      <c r="M34" s="77"/>
      <c r="N34" s="604" t="s">
        <v>201</v>
      </c>
      <c r="O34" s="574">
        <v>0.05</v>
      </c>
      <c r="P34" s="71" t="s">
        <v>103</v>
      </c>
      <c r="Q34" s="107">
        <v>1E-4</v>
      </c>
      <c r="R34" s="107">
        <f>IFERROR(S10*O34, "")</f>
        <v>3.0000000000000001E-3</v>
      </c>
    </row>
    <row r="35" spans="2:20" ht="33" customHeight="1" x14ac:dyDescent="0.25">
      <c r="B35" s="79"/>
      <c r="C35" s="325" t="s">
        <v>136</v>
      </c>
      <c r="I35" s="77"/>
      <c r="J35" s="77"/>
      <c r="K35" s="77"/>
      <c r="L35" s="77"/>
      <c r="M35" s="77"/>
      <c r="N35" s="604"/>
      <c r="O35" s="575"/>
      <c r="P35" s="71" t="s">
        <v>27</v>
      </c>
      <c r="Q35" s="107">
        <v>1E-4</v>
      </c>
      <c r="R35" s="107">
        <f>IFERROR(S11*O34, "")</f>
        <v>1E-3</v>
      </c>
    </row>
    <row r="36" spans="2:20" ht="33" customHeight="1" thickBot="1" x14ac:dyDescent="0.3">
      <c r="B36" s="79"/>
      <c r="C36" s="326" t="s">
        <v>30</v>
      </c>
      <c r="I36" s="77"/>
      <c r="J36" s="77"/>
      <c r="K36" s="77"/>
      <c r="L36" s="77"/>
      <c r="M36" s="77"/>
    </row>
    <row r="37" spans="2:20" ht="33" customHeight="1" x14ac:dyDescent="0.35">
      <c r="B37" s="79"/>
      <c r="C37" s="317"/>
      <c r="I37" s="77"/>
      <c r="J37" s="77"/>
      <c r="K37" s="77"/>
      <c r="L37" s="77"/>
      <c r="M37" s="77"/>
      <c r="N37" s="83" t="s">
        <v>137</v>
      </c>
    </row>
    <row r="38" spans="2:20" ht="33" customHeight="1" thickBot="1" x14ac:dyDescent="0.25">
      <c r="B38" s="79"/>
      <c r="I38" s="77"/>
      <c r="J38" s="77"/>
      <c r="K38" s="77"/>
      <c r="L38" s="77"/>
      <c r="M38" s="77"/>
    </row>
    <row r="39" spans="2:20" ht="33" customHeight="1" x14ac:dyDescent="0.2">
      <c r="B39" s="548" t="s">
        <v>138</v>
      </c>
      <c r="C39" s="540" t="s">
        <v>107</v>
      </c>
      <c r="D39" s="540" t="s">
        <v>23</v>
      </c>
      <c r="E39" s="540" t="s">
        <v>108</v>
      </c>
      <c r="F39" s="540" t="str">
        <f>_xlfn.CONCAT("Exposure Estimates: ",$C$42," MOE")</f>
        <v>Exposure Estimates:  MOE</v>
      </c>
      <c r="G39" s="540"/>
      <c r="H39" s="540"/>
      <c r="I39" s="540"/>
      <c r="J39" s="540"/>
      <c r="K39" s="542"/>
      <c r="L39" s="90"/>
      <c r="M39" s="77"/>
      <c r="N39" s="532" t="s">
        <v>121</v>
      </c>
      <c r="O39" s="540" t="s">
        <v>23</v>
      </c>
      <c r="P39" s="540" t="s">
        <v>108</v>
      </c>
      <c r="Q39" s="540" t="str">
        <f>_xlfn.CONCAT("Exposure Estimates: ",$C$42," MOE")</f>
        <v>Exposure Estimates:  MOE</v>
      </c>
      <c r="R39" s="540"/>
      <c r="S39" s="540"/>
      <c r="T39" s="542"/>
    </row>
    <row r="40" spans="2:20" ht="33" customHeight="1" thickBot="1" x14ac:dyDescent="0.25">
      <c r="B40" s="549"/>
      <c r="C40" s="541"/>
      <c r="D40" s="541"/>
      <c r="E40" s="541"/>
      <c r="F40" s="416" t="s">
        <v>139</v>
      </c>
      <c r="G40" s="416" t="s">
        <v>34</v>
      </c>
      <c r="H40" s="416" t="s">
        <v>35</v>
      </c>
      <c r="I40" s="416" t="s">
        <v>32</v>
      </c>
      <c r="J40" s="416" t="s">
        <v>140</v>
      </c>
      <c r="K40" s="290" t="s">
        <v>31</v>
      </c>
      <c r="L40" s="90"/>
      <c r="M40" s="77"/>
      <c r="N40" s="533"/>
      <c r="O40" s="541"/>
      <c r="P40" s="541"/>
      <c r="Q40" s="318" t="s">
        <v>135</v>
      </c>
      <c r="R40" s="318" t="s">
        <v>33</v>
      </c>
      <c r="S40" s="318" t="s">
        <v>141</v>
      </c>
      <c r="T40" s="319" t="s">
        <v>142</v>
      </c>
    </row>
    <row r="41" spans="2:20" ht="33" customHeight="1" x14ac:dyDescent="0.2">
      <c r="B41" s="550" t="s">
        <v>143</v>
      </c>
      <c r="C41" s="555">
        <v>37.194773111428944</v>
      </c>
      <c r="D41" s="292" t="s">
        <v>103</v>
      </c>
      <c r="E41" s="421">
        <v>10</v>
      </c>
      <c r="F41" s="304">
        <f>IFERROR($C41/IF($C$36="Worker",$F$10,$F$11), "")</f>
        <v>1254.9449080810693</v>
      </c>
      <c r="G41" s="305">
        <f>IFERROR($F41*'List Values'!$B$9, "")</f>
        <v>12549.449080810693</v>
      </c>
      <c r="H41" s="305">
        <f>IFERROR($F41*'List Values'!$B$10, "")</f>
        <v>31373.622702026732</v>
      </c>
      <c r="I41" s="305">
        <f>IFERROR($F41*'List Values'!$B$11, "")</f>
        <v>62747.245404053465</v>
      </c>
      <c r="J41" s="305">
        <f>IFERROR($F41*'List Values'!$B$12, "")</f>
        <v>1254944.9080810694</v>
      </c>
      <c r="K41" s="306">
        <f>IFERROR($F41*'List Values'!$B$13, "")</f>
        <v>12549449.080810694</v>
      </c>
      <c r="L41" s="330"/>
      <c r="M41" s="77"/>
      <c r="N41" s="534">
        <v>17</v>
      </c>
      <c r="O41" s="292" t="s">
        <v>103</v>
      </c>
      <c r="P41" s="421">
        <v>30</v>
      </c>
      <c r="Q41" s="305">
        <f>IFERROR($N41/Q$10, "")</f>
        <v>85</v>
      </c>
      <c r="R41" s="305">
        <f>IFERROR($N41/$Q$12, "")</f>
        <v>425</v>
      </c>
      <c r="S41" s="305">
        <f>IFERROR($N41/$Q$14, "")</f>
        <v>850</v>
      </c>
      <c r="T41" s="306">
        <f>IFERROR($N41/$Q$16, "")</f>
        <v>1700</v>
      </c>
    </row>
    <row r="42" spans="2:20" ht="33" customHeight="1" thickBot="1" x14ac:dyDescent="0.25">
      <c r="B42" s="551"/>
      <c r="C42" s="556"/>
      <c r="D42" s="293" t="s">
        <v>27</v>
      </c>
      <c r="E42" s="418">
        <v>10</v>
      </c>
      <c r="F42" s="303">
        <f>IFERROR($C41/IF($C$36="Worker",$F$12,$F$13), "")</f>
        <v>5332.9189979201519</v>
      </c>
      <c r="G42" s="303">
        <f>IFERROR($F42*'List Values'!$B$9, "")</f>
        <v>53329.189979201517</v>
      </c>
      <c r="H42" s="303">
        <f>IFERROR($F42*'List Values'!$B$10, "")</f>
        <v>133322.9749480038</v>
      </c>
      <c r="I42" s="303">
        <f>IFERROR($F42*'List Values'!$B$11, "")</f>
        <v>266645.9498960076</v>
      </c>
      <c r="J42" s="303">
        <f>IFERROR($F42*'List Values'!$B$12, "")</f>
        <v>5332918.9979201518</v>
      </c>
      <c r="K42" s="307">
        <f>IFERROR($F42*'List Values'!$B$13, "")</f>
        <v>53329189.979201518</v>
      </c>
      <c r="L42" s="330"/>
      <c r="M42" s="77"/>
      <c r="N42" s="535"/>
      <c r="O42" s="293" t="s">
        <v>27</v>
      </c>
      <c r="P42" s="418">
        <v>30</v>
      </c>
      <c r="Q42" s="321">
        <f>IFERROR($N41/$Q$11, "")</f>
        <v>242.85714285714283</v>
      </c>
      <c r="R42" s="321">
        <f>IFERROR($N41/$Q$13, "")</f>
        <v>1214.2857142857142</v>
      </c>
      <c r="S42" s="321">
        <f>IFERROR($N41/$Q$15, "")</f>
        <v>2428.5714285714284</v>
      </c>
      <c r="T42" s="322">
        <f>IFERROR($N41/$Q$17, "")</f>
        <v>4857.1428571428569</v>
      </c>
    </row>
    <row r="43" spans="2:20" ht="33" customHeight="1" x14ac:dyDescent="0.2">
      <c r="B43" s="553" t="s">
        <v>145</v>
      </c>
      <c r="C43" s="555">
        <v>2.2730139123651023</v>
      </c>
      <c r="D43" s="292" t="s">
        <v>103</v>
      </c>
      <c r="E43" s="421">
        <v>30</v>
      </c>
      <c r="F43" s="304">
        <f>IFERROR($C43/IF($C$36="Worker",$G$10,$G$11), "")</f>
        <v>111.96897346545545</v>
      </c>
      <c r="G43" s="305">
        <f>IFERROR($F43*'List Values'!$B$9, "")</f>
        <v>1119.6897346545545</v>
      </c>
      <c r="H43" s="305">
        <f>IFERROR($F43*'List Values'!$B$10, "")</f>
        <v>2799.2243366363864</v>
      </c>
      <c r="I43" s="305">
        <f>IFERROR($F43*'List Values'!$B$11, "")</f>
        <v>5598.4486732727728</v>
      </c>
      <c r="J43" s="305">
        <f>IFERROR($F43*'List Values'!$B$12, "")</f>
        <v>111968.97346545545</v>
      </c>
      <c r="K43" s="306">
        <f>IFERROR($F43*'List Values'!$B$13, "")</f>
        <v>1119689.7346545544</v>
      </c>
      <c r="L43" s="330"/>
      <c r="M43" s="77"/>
      <c r="N43" s="534">
        <v>1.7</v>
      </c>
      <c r="O43" s="292" t="s">
        <v>103</v>
      </c>
      <c r="P43" s="421">
        <v>30</v>
      </c>
      <c r="Q43" s="323">
        <f>IFERROR($N$43/$R$10, "")</f>
        <v>12.142857142857141</v>
      </c>
      <c r="R43" s="323">
        <f>IFERROR($N$43/$R$12, "")</f>
        <v>60.714285714285701</v>
      </c>
      <c r="S43" s="323">
        <f>IFERROR($N$43/$R$14, "")</f>
        <v>121.4285714285714</v>
      </c>
      <c r="T43" s="323">
        <f>IFERROR($N$43/$R$16, "")</f>
        <v>242.8571428571428</v>
      </c>
    </row>
    <row r="44" spans="2:20" ht="33" customHeight="1" thickBot="1" x14ac:dyDescent="0.25">
      <c r="B44" s="554"/>
      <c r="C44" s="556"/>
      <c r="D44" s="293" t="s">
        <v>27</v>
      </c>
      <c r="E44" s="418">
        <v>30</v>
      </c>
      <c r="F44" s="303">
        <f>IFERROR($C43/IF($C$36="Worker",$G$12,$G$13), "")</f>
        <v>475.81488392554246</v>
      </c>
      <c r="G44" s="303">
        <f>IFERROR($F44*'List Values'!$B$9, "")</f>
        <v>4758.1488392554247</v>
      </c>
      <c r="H44" s="303">
        <f>IFERROR($F44*'List Values'!$B$10, "")</f>
        <v>11895.372098138561</v>
      </c>
      <c r="I44" s="303">
        <f>IFERROR($F44*'List Values'!$B$11, "")</f>
        <v>23790.744196277123</v>
      </c>
      <c r="J44" s="303">
        <f>IFERROR($F44*'List Values'!$B$12, "")</f>
        <v>475814.88392554247</v>
      </c>
      <c r="K44" s="307">
        <f>IFERROR($F44*'List Values'!$B$13, "")</f>
        <v>4758148.8392554242</v>
      </c>
      <c r="L44" s="330"/>
      <c r="M44" s="77"/>
      <c r="N44" s="603"/>
      <c r="O44" s="320" t="s">
        <v>27</v>
      </c>
      <c r="P44" s="420">
        <v>30</v>
      </c>
      <c r="Q44" s="323">
        <f>IFERROR($N$43/$R$11, "")</f>
        <v>34</v>
      </c>
      <c r="R44" s="323">
        <f>IFERROR($N$43/$R$13, "")</f>
        <v>170</v>
      </c>
      <c r="S44" s="323">
        <f>IFERROR($N$43/$R$15, "")</f>
        <v>340</v>
      </c>
      <c r="T44" s="323">
        <f>IFERROR($N$43/$R$17, "")</f>
        <v>680</v>
      </c>
    </row>
    <row r="45" spans="2:20" ht="33" customHeight="1" x14ac:dyDescent="0.2">
      <c r="B45" s="294"/>
      <c r="C45" s="547" t="s">
        <v>146</v>
      </c>
      <c r="D45" s="530" t="s">
        <v>23</v>
      </c>
      <c r="E45" s="530" t="s">
        <v>108</v>
      </c>
      <c r="F45" s="530" t="str">
        <f>_xlfn.CONCAT("Exposure Estimates: ",$C$42," MOE")</f>
        <v>Exposure Estimates:  MOE</v>
      </c>
      <c r="G45" s="530"/>
      <c r="H45" s="530"/>
      <c r="I45" s="530"/>
      <c r="J45" s="530"/>
      <c r="K45" s="531"/>
      <c r="L45" s="90"/>
      <c r="M45" s="77"/>
      <c r="N45" s="532" t="s">
        <v>147</v>
      </c>
      <c r="O45" s="540" t="s">
        <v>23</v>
      </c>
      <c r="P45" s="540" t="s">
        <v>108</v>
      </c>
      <c r="Q45" s="540" t="str">
        <f>_xlfn.CONCAT("Exposure Estimates: ",$I$4," MOE")</f>
        <v>Exposure Estimates:  MOE</v>
      </c>
      <c r="R45" s="540"/>
      <c r="S45" s="540"/>
      <c r="T45" s="542"/>
    </row>
    <row r="46" spans="2:20" ht="33" customHeight="1" thickBot="1" x14ac:dyDescent="0.25">
      <c r="B46" s="294"/>
      <c r="C46" s="533"/>
      <c r="D46" s="541"/>
      <c r="E46" s="541"/>
      <c r="F46" s="416" t="s">
        <v>139</v>
      </c>
      <c r="G46" s="416" t="s">
        <v>34</v>
      </c>
      <c r="H46" s="416" t="s">
        <v>35</v>
      </c>
      <c r="I46" s="416" t="s">
        <v>32</v>
      </c>
      <c r="J46" s="416" t="s">
        <v>140</v>
      </c>
      <c r="K46" s="290" t="s">
        <v>31</v>
      </c>
      <c r="L46" s="90"/>
      <c r="M46" s="77"/>
      <c r="N46" s="533"/>
      <c r="O46" s="541"/>
      <c r="P46" s="541"/>
      <c r="Q46" s="318" t="s">
        <v>135</v>
      </c>
      <c r="R46" s="318" t="s">
        <v>33</v>
      </c>
      <c r="S46" s="318" t="s">
        <v>141</v>
      </c>
      <c r="T46" s="319" t="s">
        <v>142</v>
      </c>
    </row>
    <row r="47" spans="2:20" ht="33" customHeight="1" x14ac:dyDescent="0.2">
      <c r="B47" s="545" t="s">
        <v>148</v>
      </c>
      <c r="C47" s="599">
        <v>3.7747239263803682E-2</v>
      </c>
      <c r="D47" s="299" t="s">
        <v>103</v>
      </c>
      <c r="E47" s="334">
        <v>1E-4</v>
      </c>
      <c r="F47" s="340">
        <f>IFERROR($C47*IF($C$36="Worker",$H$10,$H$11), "")</f>
        <v>3.9296600333283262E-4</v>
      </c>
      <c r="G47" s="341">
        <f>IFERROR($F47/'List Values'!$B$9, "")</f>
        <v>3.9296600333283259E-5</v>
      </c>
      <c r="H47" s="341">
        <f>IFERROR($F47/'List Values'!$B$10, "")</f>
        <v>1.5718640133313304E-5</v>
      </c>
      <c r="I47" s="341">
        <f>IFERROR($F47/'List Values'!$B$11, "")</f>
        <v>7.8593200666566522E-6</v>
      </c>
      <c r="J47" s="341">
        <f>IFERROR($F47/'List Values'!$B$12, "")</f>
        <v>3.9296600333283261E-7</v>
      </c>
      <c r="K47" s="342">
        <f>IFERROR($F47/'List Values'!$B$13, "")</f>
        <v>3.9296600333283261E-8</v>
      </c>
      <c r="L47" s="333"/>
      <c r="M47" s="77"/>
      <c r="N47" s="600">
        <v>0.05</v>
      </c>
      <c r="O47" s="299" t="s">
        <v>103</v>
      </c>
      <c r="P47" s="601">
        <v>1E-4</v>
      </c>
      <c r="Q47" s="301">
        <f>IFERROR($N$47*$S10, "")</f>
        <v>3.0000000000000001E-3</v>
      </c>
      <c r="R47" s="301">
        <f>IFERROR($N$47*$S12, "")</f>
        <v>6.0000000000000006E-4</v>
      </c>
      <c r="S47" s="301">
        <f>IFERROR($N$47*$S14, "")</f>
        <v>3.0000000000000003E-4</v>
      </c>
      <c r="T47" s="301">
        <f>IFERROR($N$47*$S16, "")</f>
        <v>1.5000000000000001E-4</v>
      </c>
    </row>
    <row r="48" spans="2:20" ht="33" customHeight="1" thickBot="1" x14ac:dyDescent="0.25">
      <c r="B48" s="546"/>
      <c r="C48" s="544"/>
      <c r="D48" s="293" t="s">
        <v>27</v>
      </c>
      <c r="E48" s="335">
        <v>1E-4</v>
      </c>
      <c r="F48" s="337">
        <f>IFERROR($C47*IF($C$36="Worker",$H$12,$H$13), "")</f>
        <v>7.1666526525336936E-5</v>
      </c>
      <c r="G48" s="338">
        <f>IFERROR($F48/'List Values'!$B$9, "")</f>
        <v>7.1666526525336936E-6</v>
      </c>
      <c r="H48" s="338">
        <f>IFERROR($F48/'List Values'!$B$10, "")</f>
        <v>2.8666610610134773E-6</v>
      </c>
      <c r="I48" s="338">
        <f>IFERROR($F48/'List Values'!$B$11, "")</f>
        <v>1.4333305305067386E-6</v>
      </c>
      <c r="J48" s="338">
        <f>IFERROR($F48/'List Values'!$B$12, "")</f>
        <v>7.1666526525336931E-8</v>
      </c>
      <c r="K48" s="339">
        <f>IFERROR($F48/'List Values'!$B$13, "")</f>
        <v>7.1666526525336938E-9</v>
      </c>
      <c r="L48" s="333"/>
      <c r="M48" s="77"/>
      <c r="N48" s="564"/>
      <c r="O48" s="293" t="s">
        <v>27</v>
      </c>
      <c r="P48" s="602"/>
      <c r="Q48" s="321">
        <f>IFERROR($N$47*$S11, "")</f>
        <v>1E-3</v>
      </c>
      <c r="R48" s="321">
        <f>IFERROR($N$47*$S13, "")</f>
        <v>2.0000000000000001E-4</v>
      </c>
      <c r="S48" s="321">
        <f>IFERROR($N$47*$S15, "")</f>
        <v>1E-4</v>
      </c>
      <c r="T48" s="321">
        <f>IFERROR($N$47*$S17, "")</f>
        <v>5.0000000000000002E-5</v>
      </c>
    </row>
    <row r="49" spans="2:19" ht="33" customHeight="1" x14ac:dyDescent="0.2">
      <c r="B49" s="79"/>
      <c r="M49" s="77"/>
    </row>
    <row r="50" spans="2:19" ht="33" customHeight="1" x14ac:dyDescent="0.2">
      <c r="B50" s="79"/>
      <c r="M50" s="77"/>
    </row>
    <row r="51" spans="2:19" ht="33" customHeight="1" x14ac:dyDescent="0.2">
      <c r="B51" s="79"/>
      <c r="M51" s="77"/>
    </row>
    <row r="52" spans="2:19" ht="33" customHeight="1" x14ac:dyDescent="0.2">
      <c r="B52" s="79"/>
      <c r="M52" s="77"/>
    </row>
    <row r="53" spans="2:19" ht="33" customHeight="1" x14ac:dyDescent="0.2">
      <c r="B53" s="79"/>
      <c r="M53" s="77"/>
    </row>
    <row r="54" spans="2:19" ht="33" customHeight="1" x14ac:dyDescent="0.2">
      <c r="B54" s="79"/>
      <c r="M54" s="77"/>
    </row>
    <row r="55" spans="2:19" s="85" customFormat="1" ht="21" x14ac:dyDescent="0.35">
      <c r="C55" s="66"/>
      <c r="D55" s="66"/>
      <c r="E55" s="66"/>
      <c r="F55" s="66"/>
      <c r="G55" s="66"/>
      <c r="H55" s="66"/>
      <c r="I55" s="66"/>
      <c r="J55" s="66"/>
      <c r="K55" s="66"/>
      <c r="L55" s="66"/>
      <c r="N55" s="66"/>
      <c r="O55" s="66"/>
      <c r="P55" s="66"/>
      <c r="Q55" s="66"/>
      <c r="R55" s="66"/>
      <c r="S55" s="66"/>
    </row>
    <row r="56" spans="2:19" ht="25.5" customHeight="1" x14ac:dyDescent="0.2">
      <c r="B56" s="82"/>
      <c r="M56" s="90"/>
    </row>
    <row r="57" spans="2:19" ht="14.45" customHeight="1" x14ac:dyDescent="0.2">
      <c r="B57" s="82"/>
      <c r="M57" s="90"/>
    </row>
    <row r="58" spans="2:19" x14ac:dyDescent="0.2">
      <c r="B58" s="82"/>
      <c r="M58" s="89"/>
    </row>
    <row r="59" spans="2:19" ht="21" x14ac:dyDescent="0.35">
      <c r="B59" s="82"/>
      <c r="M59" s="89"/>
      <c r="N59" s="85"/>
    </row>
    <row r="63" spans="2:19" ht="29.1" customHeight="1" x14ac:dyDescent="0.2"/>
  </sheetData>
  <sheetProtection sheet="1" objects="1" scenarios="1" formatCells="0" formatColumns="0" formatRows="0"/>
  <mergeCells count="76">
    <mergeCell ref="C8:C9"/>
    <mergeCell ref="D8:D9"/>
    <mergeCell ref="N8:N9"/>
    <mergeCell ref="O8:O9"/>
    <mergeCell ref="D10:D11"/>
    <mergeCell ref="N10:N11"/>
    <mergeCell ref="Q20:Q21"/>
    <mergeCell ref="D12:D13"/>
    <mergeCell ref="N12:N13"/>
    <mergeCell ref="N14:N15"/>
    <mergeCell ref="C16:C17"/>
    <mergeCell ref="D16:D17"/>
    <mergeCell ref="E16:E17"/>
    <mergeCell ref="F16:F17"/>
    <mergeCell ref="G16:H16"/>
    <mergeCell ref="N16:N17"/>
    <mergeCell ref="C18:C19"/>
    <mergeCell ref="D18:D19"/>
    <mergeCell ref="N20:N21"/>
    <mergeCell ref="O20:O21"/>
    <mergeCell ref="P20:P21"/>
    <mergeCell ref="O22:O23"/>
    <mergeCell ref="C24:C25"/>
    <mergeCell ref="D24:D25"/>
    <mergeCell ref="N26:N27"/>
    <mergeCell ref="O26:O27"/>
    <mergeCell ref="C22:C23"/>
    <mergeCell ref="D22:D23"/>
    <mergeCell ref="E22:E23"/>
    <mergeCell ref="F22:F23"/>
    <mergeCell ref="G22:H22"/>
    <mergeCell ref="N22:N23"/>
    <mergeCell ref="Q32:Q33"/>
    <mergeCell ref="Q26:Q27"/>
    <mergeCell ref="C28:C29"/>
    <mergeCell ref="D28:D29"/>
    <mergeCell ref="E28:E29"/>
    <mergeCell ref="F28:F29"/>
    <mergeCell ref="G28:H28"/>
    <mergeCell ref="N28:N29"/>
    <mergeCell ref="O28:O29"/>
    <mergeCell ref="P26:P27"/>
    <mergeCell ref="C30:C31"/>
    <mergeCell ref="D30:D31"/>
    <mergeCell ref="N32:N33"/>
    <mergeCell ref="O32:O33"/>
    <mergeCell ref="P32:P33"/>
    <mergeCell ref="B43:B44"/>
    <mergeCell ref="C43:C44"/>
    <mergeCell ref="N43:N44"/>
    <mergeCell ref="N34:N35"/>
    <mergeCell ref="O34:O35"/>
    <mergeCell ref="B39:B40"/>
    <mergeCell ref="C39:C40"/>
    <mergeCell ref="D39:D40"/>
    <mergeCell ref="E39:E40"/>
    <mergeCell ref="F39:K39"/>
    <mergeCell ref="N39:N40"/>
    <mergeCell ref="O39:O40"/>
    <mergeCell ref="P39:P40"/>
    <mergeCell ref="Q39:T39"/>
    <mergeCell ref="B41:B42"/>
    <mergeCell ref="C41:C42"/>
    <mergeCell ref="N41:N42"/>
    <mergeCell ref="P45:P46"/>
    <mergeCell ref="Q45:T45"/>
    <mergeCell ref="B47:B48"/>
    <mergeCell ref="C47:C48"/>
    <mergeCell ref="N47:N48"/>
    <mergeCell ref="P47:P48"/>
    <mergeCell ref="C45:C46"/>
    <mergeCell ref="D45:D46"/>
    <mergeCell ref="E45:E46"/>
    <mergeCell ref="F45:K45"/>
    <mergeCell ref="N45:N46"/>
    <mergeCell ref="O45:O46"/>
  </mergeCells>
  <conditionalFormatting sqref="E10:L13">
    <cfRule type="cellIs" dxfId="227" priority="110" operator="lessThanOrEqual">
      <formula>0.1</formula>
    </cfRule>
    <cfRule type="cellIs" dxfId="226" priority="109" operator="between">
      <formula>0.1</formula>
      <formula>0.999</formula>
    </cfRule>
    <cfRule type="cellIs" dxfId="225" priority="108" operator="between">
      <formula>1</formula>
      <formula>9.999</formula>
    </cfRule>
    <cfRule type="cellIs" dxfId="224" priority="107" operator="greaterThanOrEqual">
      <formula>10</formula>
    </cfRule>
    <cfRule type="cellIs" dxfId="223" priority="106" operator="greaterThanOrEqual">
      <formula>10000</formula>
    </cfRule>
    <cfRule type="cellIs" dxfId="222" priority="117" operator="greaterThan">
      <formula>10000</formula>
    </cfRule>
    <cfRule type="cellIs" dxfId="221" priority="116" operator="greaterThan">
      <formula>10</formula>
    </cfRule>
    <cfRule type="cellIs" dxfId="220" priority="115" operator="between">
      <formula>1</formula>
      <formula>10</formula>
    </cfRule>
    <cfRule type="cellIs" dxfId="219" priority="114" operator="between">
      <formula>0.1</formula>
      <formula>0.999</formula>
    </cfRule>
    <cfRule type="cellIs" dxfId="218" priority="113" operator="lessThan">
      <formula>0.1</formula>
    </cfRule>
    <cfRule type="cellIs" dxfId="217" priority="112" operator="equal">
      <formula>0</formula>
    </cfRule>
    <cfRule type="containsBlanks" dxfId="216" priority="111" stopIfTrue="1">
      <formula>LEN(TRIM(E10))=0</formula>
    </cfRule>
  </conditionalFormatting>
  <conditionalFormatting sqref="F41:F44 L41:L44">
    <cfRule type="cellIs" dxfId="215" priority="96" operator="lessThan">
      <formula>$E$43</formula>
    </cfRule>
  </conditionalFormatting>
  <conditionalFormatting sqref="F47">
    <cfRule type="cellIs" dxfId="214" priority="105" operator="greaterThanOrEqual">
      <formula>0.0001</formula>
    </cfRule>
    <cfRule type="containsBlanks" dxfId="213" priority="104" stopIfTrue="1">
      <formula>LEN(TRIM(F47))=0</formula>
    </cfRule>
  </conditionalFormatting>
  <conditionalFormatting sqref="F47:F48">
    <cfRule type="cellIs" dxfId="212" priority="58" operator="between">
      <formula>1</formula>
      <formula>9.999</formula>
    </cfRule>
    <cfRule type="cellIs" dxfId="211" priority="59" operator="between">
      <formula>0.1</formula>
      <formula>0.999</formula>
    </cfRule>
    <cfRule type="cellIs" dxfId="210" priority="100" operator="greaterThanOrEqual">
      <formula>10</formula>
    </cfRule>
    <cfRule type="cellIs" dxfId="209" priority="99" operator="greaterThanOrEqual">
      <formula>10000</formula>
    </cfRule>
  </conditionalFormatting>
  <conditionalFormatting sqref="F48">
    <cfRule type="cellIs" dxfId="208" priority="61" operator="greaterThanOrEqual">
      <formula>0.0001</formula>
    </cfRule>
    <cfRule type="containsBlanks" dxfId="207" priority="60" stopIfTrue="1">
      <formula>LEN(TRIM(F48))=0</formula>
    </cfRule>
    <cfRule type="cellIs" dxfId="206" priority="103" operator="lessThanOrEqual">
      <formula>0.1</formula>
    </cfRule>
  </conditionalFormatting>
  <conditionalFormatting sqref="F41:L42">
    <cfRule type="cellIs" dxfId="205" priority="20" operator="greaterThanOrEqual">
      <formula>$E$41</formula>
    </cfRule>
  </conditionalFormatting>
  <conditionalFormatting sqref="F41:L44">
    <cfRule type="cellIs" dxfId="204" priority="12" operator="greaterThanOrEqual">
      <formula>10000</formula>
    </cfRule>
    <cfRule type="cellIs" dxfId="203" priority="13" operator="greaterThanOrEqual">
      <formula>10</formula>
    </cfRule>
    <cfRule type="cellIs" dxfId="202" priority="14" operator="between">
      <formula>1</formula>
      <formula>9.999</formula>
    </cfRule>
    <cfRule type="cellIs" dxfId="201" priority="15" operator="between">
      <formula>0.1</formula>
      <formula>0.999</formula>
    </cfRule>
    <cfRule type="cellIs" dxfId="200" priority="16" operator="lessThanOrEqual">
      <formula>0.1</formula>
    </cfRule>
    <cfRule type="containsBlanks" dxfId="199" priority="17" stopIfTrue="1">
      <formula>LEN(TRIM(F41))=0</formula>
    </cfRule>
  </conditionalFormatting>
  <conditionalFormatting sqref="F43:L44">
    <cfRule type="cellIs" dxfId="198" priority="18" operator="greaterThanOrEqual">
      <formula>$E$43</formula>
    </cfRule>
  </conditionalFormatting>
  <conditionalFormatting sqref="G41:K42">
    <cfRule type="cellIs" dxfId="197" priority="21" operator="lessThan">
      <formula>$E$43</formula>
    </cfRule>
  </conditionalFormatting>
  <conditionalFormatting sqref="G43:K44">
    <cfRule type="cellIs" dxfId="196" priority="19" operator="lessThan">
      <formula>$E$43</formula>
    </cfRule>
  </conditionalFormatting>
  <conditionalFormatting sqref="G48:K48">
    <cfRule type="cellIs" dxfId="195" priority="2" operator="between">
      <formula>0.1</formula>
      <formula>0.999</formula>
    </cfRule>
    <cfRule type="containsBlanks" dxfId="194" priority="3" stopIfTrue="1">
      <formula>LEN(TRIM(G48))=0</formula>
    </cfRule>
    <cfRule type="cellIs" dxfId="193" priority="4" operator="greaterThanOrEqual">
      <formula>0.0001</formula>
    </cfRule>
    <cfRule type="cellIs" dxfId="192" priority="1" operator="between">
      <formula>1</formula>
      <formula>9.999</formula>
    </cfRule>
  </conditionalFormatting>
  <conditionalFormatting sqref="G18:L19 G24:L25">
    <cfRule type="cellIs" dxfId="191" priority="139" operator="lessThan">
      <formula>$F18</formula>
    </cfRule>
    <cfRule type="containsBlanks" dxfId="190" priority="138" stopIfTrue="1">
      <formula>LEN(TRIM(G18))=0</formula>
    </cfRule>
    <cfRule type="cellIs" dxfId="189" priority="137" operator="lessThanOrEqual">
      <formula>0.1</formula>
    </cfRule>
    <cfRule type="cellIs" dxfId="188" priority="136" operator="between">
      <formula>0.1</formula>
      <formula>0.999</formula>
    </cfRule>
    <cfRule type="cellIs" dxfId="187" priority="135" operator="between">
      <formula>1</formula>
      <formula>9.999</formula>
    </cfRule>
    <cfRule type="cellIs" dxfId="186" priority="134" operator="greaterThanOrEqual">
      <formula>10</formula>
    </cfRule>
    <cfRule type="cellIs" dxfId="185" priority="133" operator="greaterThanOrEqual">
      <formula>10000</formula>
    </cfRule>
  </conditionalFormatting>
  <conditionalFormatting sqref="G30:L31 R34:R35">
    <cfRule type="cellIs" dxfId="184" priority="132" operator="greaterThan">
      <formula>0.0001</formula>
    </cfRule>
  </conditionalFormatting>
  <conditionalFormatting sqref="G30:L31">
    <cfRule type="cellIs" dxfId="183" priority="125" operator="greaterThanOrEqual">
      <formula>10000</formula>
    </cfRule>
    <cfRule type="cellIs" dxfId="182" priority="127" operator="between">
      <formula>1</formula>
      <formula>9.999</formula>
    </cfRule>
    <cfRule type="cellIs" dxfId="181" priority="126" operator="greaterThanOrEqual">
      <formula>10</formula>
    </cfRule>
    <cfRule type="cellIs" dxfId="180" priority="128" operator="between">
      <formula>0.1</formula>
      <formula>0.999</formula>
    </cfRule>
    <cfRule type="cellIs" dxfId="179" priority="131" operator="equal">
      <formula>0</formula>
    </cfRule>
    <cfRule type="containsBlanks" dxfId="178" priority="130" stopIfTrue="1">
      <formula>LEN(TRIM(G30))=0</formula>
    </cfRule>
    <cfRule type="cellIs" dxfId="177" priority="129" operator="lessThanOrEqual">
      <formula>0.1</formula>
    </cfRule>
  </conditionalFormatting>
  <conditionalFormatting sqref="G47:L47">
    <cfRule type="cellIs" dxfId="176" priority="7" operator="between">
      <formula>1</formula>
      <formula>9.999</formula>
    </cfRule>
    <cfRule type="cellIs" dxfId="175" priority="8" operator="between">
      <formula>0.1</formula>
      <formula>0.999</formula>
    </cfRule>
    <cfRule type="containsBlanks" dxfId="174" priority="10" stopIfTrue="1">
      <formula>LEN(TRIM(G47))=0</formula>
    </cfRule>
    <cfRule type="cellIs" dxfId="173" priority="11" operator="greaterThanOrEqual">
      <formula>0.0001</formula>
    </cfRule>
  </conditionalFormatting>
  <conditionalFormatting sqref="G47:L48">
    <cfRule type="cellIs" dxfId="172" priority="5" operator="greaterThanOrEqual">
      <formula>10000</formula>
    </cfRule>
    <cfRule type="cellIs" dxfId="171" priority="6" operator="greaterThanOrEqual">
      <formula>10</formula>
    </cfRule>
  </conditionalFormatting>
  <conditionalFormatting sqref="G48:L48">
    <cfRule type="cellIs" dxfId="170" priority="9" operator="lessThanOrEqual">
      <formula>0.1</formula>
    </cfRule>
  </conditionalFormatting>
  <conditionalFormatting sqref="P10:S17">
    <cfRule type="cellIs" dxfId="169" priority="23" operator="greaterThanOrEqual">
      <formula>10</formula>
    </cfRule>
    <cfRule type="cellIs" dxfId="168" priority="24" operator="between">
      <formula>1</formula>
      <formula>9.999</formula>
    </cfRule>
    <cfRule type="cellIs" dxfId="167" priority="25" operator="between">
      <formula>0.1</formula>
      <formula>0.999</formula>
    </cfRule>
    <cfRule type="cellIs" dxfId="166" priority="31" operator="between">
      <formula>1</formula>
      <formula>10</formula>
    </cfRule>
    <cfRule type="cellIs" dxfId="165" priority="33" operator="greaterThan">
      <formula>10000</formula>
    </cfRule>
    <cfRule type="cellIs" dxfId="164" priority="32" operator="greaterThan">
      <formula>10</formula>
    </cfRule>
    <cfRule type="cellIs" dxfId="163" priority="22" operator="greaterThanOrEqual">
      <formula>10000</formula>
    </cfRule>
    <cfRule type="cellIs" dxfId="162" priority="30" operator="between">
      <formula>0.1</formula>
      <formula>0.999</formula>
    </cfRule>
    <cfRule type="cellIs" dxfId="161" priority="29" operator="lessThan">
      <formula>0.1</formula>
    </cfRule>
    <cfRule type="cellIs" dxfId="160" priority="28" operator="equal">
      <formula>0</formula>
    </cfRule>
    <cfRule type="containsBlanks" dxfId="159" priority="27" stopIfTrue="1">
      <formula>LEN(TRIM(P10))=0</formula>
    </cfRule>
    <cfRule type="cellIs" dxfId="158" priority="26" operator="lessThanOrEqual">
      <formula>0.1</formula>
    </cfRule>
  </conditionalFormatting>
  <conditionalFormatting sqref="Q41:T42">
    <cfRule type="cellIs" dxfId="157" priority="76" operator="lessThan">
      <formula>$P$41</formula>
    </cfRule>
    <cfRule type="cellIs" dxfId="156" priority="75" operator="greaterThanOrEqual">
      <formula>$P$41</formula>
    </cfRule>
  </conditionalFormatting>
  <conditionalFormatting sqref="Q41:T44">
    <cfRule type="cellIs" dxfId="155" priority="62" operator="between">
      <formula>1</formula>
      <formula>9.999</formula>
    </cfRule>
    <cfRule type="cellIs" dxfId="154" priority="63" operator="between">
      <formula>0.1</formula>
      <formula>0.999</formula>
    </cfRule>
    <cfRule type="containsBlanks" dxfId="153" priority="64" stopIfTrue="1">
      <formula>LEN(TRIM(Q41))=0</formula>
    </cfRule>
    <cfRule type="cellIs" dxfId="152" priority="65" operator="greaterThanOrEqual">
      <formula>10000</formula>
    </cfRule>
    <cfRule type="cellIs" dxfId="151" priority="66" operator="greaterThanOrEqual">
      <formula>10</formula>
    </cfRule>
    <cfRule type="cellIs" dxfId="150" priority="67" operator="lessThanOrEqual">
      <formula>0.1</formula>
    </cfRule>
  </conditionalFormatting>
  <conditionalFormatting sqref="Q43:T44">
    <cfRule type="cellIs" dxfId="149" priority="68" operator="greaterThanOrEqual">
      <formula>$P$43</formula>
    </cfRule>
    <cfRule type="cellIs" dxfId="148" priority="69" operator="lessThan">
      <formula>$P$43</formula>
    </cfRule>
  </conditionalFormatting>
  <conditionalFormatting sqref="Q47:T48">
    <cfRule type="cellIs" dxfId="147" priority="71" operator="between">
      <formula>1</formula>
      <formula>100</formula>
    </cfRule>
    <cfRule type="cellIs" dxfId="146" priority="70" operator="greaterThan">
      <formula>100</formula>
    </cfRule>
    <cfRule type="cellIs" dxfId="145" priority="74" operator="greaterThanOrEqual">
      <formula>0.0001</formula>
    </cfRule>
    <cfRule type="containsBlanks" dxfId="144" priority="73" stopIfTrue="1">
      <formula>LEN(TRIM(Q47))=0</formula>
    </cfRule>
    <cfRule type="cellIs" dxfId="143" priority="72" operator="lessThanOrEqual">
      <formula>0.1</formula>
    </cfRule>
  </conditionalFormatting>
  <conditionalFormatting sqref="R22:R23 R28:R29">
    <cfRule type="cellIs" dxfId="142" priority="118" operator="greaterThanOrEqual">
      <formula>10000</formula>
    </cfRule>
    <cfRule type="cellIs" dxfId="141" priority="119" operator="greaterThanOrEqual">
      <formula>10</formula>
    </cfRule>
    <cfRule type="cellIs" dxfId="140" priority="120" operator="between">
      <formula>1</formula>
      <formula>9.999</formula>
    </cfRule>
    <cfRule type="cellIs" dxfId="139" priority="121" operator="between">
      <formula>0.1</formula>
      <formula>0.999</formula>
    </cfRule>
    <cfRule type="cellIs" dxfId="138" priority="122" operator="lessThanOrEqual">
      <formula>0.1</formula>
    </cfRule>
    <cfRule type="containsBlanks" dxfId="137" priority="123" stopIfTrue="1">
      <formula>LEN(TRIM(R22))=0</formula>
    </cfRule>
    <cfRule type="cellIs" dxfId="136" priority="124" operator="lessThan">
      <formula>$Q22</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50EE-8436-4E4E-BAF9-F1E1DA5EB14F}">
  <dimension ref="B1:U63"/>
  <sheetViews>
    <sheetView topLeftCell="F1" workbookViewId="0">
      <selection activeCell="S9" sqref="S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12" width="15.85546875" style="66" customWidth="1"/>
    <col min="13" max="13" width="12.85546875" style="66" customWidth="1"/>
    <col min="14" max="14" width="26.5703125" style="66" customWidth="1"/>
    <col min="15" max="15" width="28.42578125" style="66" customWidth="1"/>
    <col min="16" max="19" width="14.85546875" style="66" customWidth="1"/>
    <col min="20" max="21" width="13.5703125" style="66" customWidth="1"/>
    <col min="22" max="16384" width="8.7109375" style="66"/>
  </cols>
  <sheetData>
    <row r="1" spans="2:21" ht="21" x14ac:dyDescent="0.35">
      <c r="C1" s="83"/>
    </row>
    <row r="2" spans="2:21" ht="21" x14ac:dyDescent="0.35">
      <c r="C2" s="83" t="s">
        <v>462</v>
      </c>
      <c r="M2" s="68"/>
      <c r="T2" s="67"/>
    </row>
    <row r="3" spans="2:21" ht="15.75" x14ac:dyDescent="0.25">
      <c r="C3" s="67"/>
      <c r="M3" s="68"/>
      <c r="T3" s="67"/>
    </row>
    <row r="4" spans="2:21" ht="21" x14ac:dyDescent="0.35">
      <c r="C4" s="84" t="s">
        <v>83</v>
      </c>
      <c r="D4" s="85"/>
      <c r="E4" s="85"/>
      <c r="F4" s="85"/>
      <c r="G4" s="85"/>
      <c r="H4" s="85"/>
      <c r="I4" s="85"/>
      <c r="J4" s="85"/>
      <c r="K4" s="85"/>
      <c r="L4" s="85"/>
      <c r="N4" s="84" t="s">
        <v>29</v>
      </c>
      <c r="T4" s="67"/>
    </row>
    <row r="5" spans="2:21" ht="21" x14ac:dyDescent="0.35">
      <c r="C5" s="85"/>
      <c r="D5" s="85"/>
      <c r="E5" s="85"/>
      <c r="F5" s="85"/>
      <c r="G5" s="85"/>
      <c r="H5" s="85"/>
      <c r="I5" s="85"/>
      <c r="J5" s="85"/>
      <c r="K5" s="85"/>
      <c r="L5" s="85"/>
      <c r="N5" s="83"/>
      <c r="T5" s="67"/>
    </row>
    <row r="6" spans="2:21" ht="21" x14ac:dyDescent="0.35">
      <c r="C6" s="83" t="s">
        <v>84</v>
      </c>
      <c r="D6" s="85"/>
      <c r="E6" s="85"/>
      <c r="F6" s="85"/>
      <c r="G6" s="85"/>
      <c r="H6" s="85"/>
      <c r="I6" s="85"/>
      <c r="J6" s="85"/>
      <c r="K6" s="85"/>
      <c r="L6" s="85"/>
      <c r="N6" s="83" t="s">
        <v>84</v>
      </c>
      <c r="T6" s="67"/>
    </row>
    <row r="7" spans="2:21" ht="15.75" x14ac:dyDescent="0.25">
      <c r="C7" s="67"/>
      <c r="M7" s="68"/>
      <c r="T7" s="67"/>
    </row>
    <row r="8" spans="2:21" ht="38.25" x14ac:dyDescent="0.25">
      <c r="C8" s="592" t="s">
        <v>85</v>
      </c>
      <c r="D8" s="593" t="s">
        <v>23</v>
      </c>
      <c r="E8" s="411" t="s">
        <v>86</v>
      </c>
      <c r="F8" s="411" t="s">
        <v>87</v>
      </c>
      <c r="G8" s="411" t="s">
        <v>89</v>
      </c>
      <c r="H8" s="411" t="s">
        <v>90</v>
      </c>
      <c r="I8" s="291"/>
      <c r="J8" s="291"/>
      <c r="K8" s="291"/>
      <c r="L8" s="291"/>
      <c r="M8" s="1"/>
      <c r="N8" s="592" t="s">
        <v>85</v>
      </c>
      <c r="O8" s="592" t="s">
        <v>23</v>
      </c>
      <c r="P8" s="411" t="s">
        <v>91</v>
      </c>
      <c r="Q8" s="411" t="s">
        <v>92</v>
      </c>
      <c r="R8" s="411" t="s">
        <v>94</v>
      </c>
      <c r="S8" s="411" t="s">
        <v>95</v>
      </c>
      <c r="U8" s="67"/>
    </row>
    <row r="9" spans="2:21" ht="27" x14ac:dyDescent="0.25">
      <c r="C9" s="592"/>
      <c r="D9" s="593"/>
      <c r="E9" s="411" t="s">
        <v>192</v>
      </c>
      <c r="F9" s="411" t="s">
        <v>193</v>
      </c>
      <c r="G9" s="411" t="s">
        <v>194</v>
      </c>
      <c r="H9" s="411" t="s">
        <v>195</v>
      </c>
      <c r="I9" s="291"/>
      <c r="J9" s="291"/>
      <c r="K9" s="291"/>
      <c r="L9" s="291"/>
      <c r="M9" s="1"/>
      <c r="N9" s="592"/>
      <c r="O9" s="592"/>
      <c r="P9" s="411" t="s">
        <v>100</v>
      </c>
      <c r="Q9" s="411" t="s">
        <v>196</v>
      </c>
      <c r="R9" s="411" t="s">
        <v>197</v>
      </c>
      <c r="S9" s="411" t="s">
        <v>510</v>
      </c>
      <c r="U9" s="67"/>
    </row>
    <row r="10" spans="2:21" ht="15.75" x14ac:dyDescent="0.25">
      <c r="C10" s="88" t="s">
        <v>30</v>
      </c>
      <c r="D10" s="594" t="s">
        <v>103</v>
      </c>
      <c r="E10" s="316">
        <f>'Inhalation Exposures'!I74</f>
        <v>0.40116183543314321</v>
      </c>
      <c r="F10" s="316">
        <f>'Inhalation Exposures'!K74</f>
        <v>0.27289920777764848</v>
      </c>
      <c r="G10" s="316">
        <f>'Inhalation Exposures'!O74</f>
        <v>0.18691726560112906</v>
      </c>
      <c r="H10" s="316">
        <f>'Inhalation Exposures'!Q74</f>
        <v>9.5855008000579001E-2</v>
      </c>
      <c r="I10" s="329"/>
      <c r="J10" s="329"/>
      <c r="K10" s="329"/>
      <c r="L10" s="329"/>
      <c r="M10" s="1"/>
      <c r="N10" s="595" t="s">
        <v>104</v>
      </c>
      <c r="O10" s="72" t="s">
        <v>103</v>
      </c>
      <c r="P10" s="316">
        <f>IFERROR(INDEX('Dermal Exposures'!$J$33:$J$34, MATCH(CTC_operator!$C$2, 'Dermal Exposures'!$A$33:$A$34, 0)), "")</f>
        <v>15.95</v>
      </c>
      <c r="Q10" s="316">
        <f>IFERROR(INDEX('Dermal Exposures'!$K$33:$K$34, MATCH(CTC_operator!$C$2, 'Dermal Exposures'!$A$33:$A$34, 0)), "")</f>
        <v>0.2</v>
      </c>
      <c r="R10" s="316">
        <f>IFERROR(INDEX('Dermal Exposures'!$M$33:$M$34, MATCH(CTC_operator!$C$2, 'Dermal Exposures'!$A$33:$A$34, 0)), "")</f>
        <v>0.14000000000000001</v>
      </c>
      <c r="S10" s="316">
        <f>IFERROR(INDEX('Dermal Exposures'!$N$33:$N$34, MATCH(CTC_operator!$C$2, 'Dermal Exposures'!$A$33:$A$34, 0)), "")</f>
        <v>0.06</v>
      </c>
      <c r="U10" s="67"/>
    </row>
    <row r="11" spans="2:21" ht="15.75" x14ac:dyDescent="0.25">
      <c r="C11" s="88" t="s">
        <v>28</v>
      </c>
      <c r="D11" s="594"/>
      <c r="E11" s="316">
        <f>'Inhalation Exposures'!I81</f>
        <v>0.28046726481624995</v>
      </c>
      <c r="F11" s="316">
        <f>'Inhalation Exposures'!K81</f>
        <v>0.19079405769812921</v>
      </c>
      <c r="G11" s="316">
        <f>'Inhalation Exposures'!O81</f>
        <v>0.13068086143707483</v>
      </c>
      <c r="H11" s="316">
        <f>'Inhalation Exposures'!Q81</f>
        <v>6.7015826377987087E-2</v>
      </c>
      <c r="I11" s="329"/>
      <c r="J11" s="329"/>
      <c r="K11" s="329"/>
      <c r="L11" s="329"/>
      <c r="M11" s="1"/>
      <c r="N11" s="595"/>
      <c r="O11" s="72" t="s">
        <v>27</v>
      </c>
      <c r="P11" s="316">
        <f>IFERROR(INDEX('Dermal Exposures'!$O$33:$O$34, MATCH(CTC_operator!$C$2, 'Dermal Exposures'!$A$33:$A$34, 0)), "")</f>
        <v>5.96</v>
      </c>
      <c r="Q11" s="316">
        <f>IFERROR(INDEX('Dermal Exposures'!$P$33:$P$34, MATCH(CTC_operator!$C$2, 'Dermal Exposures'!$A$33:$A$34, 0)), "")</f>
        <v>7.0000000000000007E-2</v>
      </c>
      <c r="R11" s="316">
        <f>IFERROR(INDEX('Dermal Exposures'!$R$33:$R$34, MATCH(CTC_operator!$C$2, 'Dermal Exposures'!$A$33:$A$34, 0)), "")</f>
        <v>0.05</v>
      </c>
      <c r="S11" s="316">
        <f>IFERROR(INDEX('Dermal Exposures'!$S$33:$S$34, MATCH(CTC_operator!$C$2, 'Dermal Exposures'!$A$33:$A$34, 0)), "")</f>
        <v>0.02</v>
      </c>
      <c r="U11" s="67"/>
    </row>
    <row r="12" spans="2:21" ht="15.75" x14ac:dyDescent="0.25">
      <c r="C12" s="88" t="s">
        <v>30</v>
      </c>
      <c r="D12" s="591" t="s">
        <v>27</v>
      </c>
      <c r="E12" s="316">
        <f>'Inhalation Exposures'!J74</f>
        <v>8.9135592570936104E-2</v>
      </c>
      <c r="F12" s="316">
        <f>'Inhalation Exposures'!L74</f>
        <v>6.0636457531249049E-2</v>
      </c>
      <c r="G12" s="316">
        <f>'Inhalation Exposures'!P74</f>
        <v>4.1531820226882905E-2</v>
      </c>
      <c r="H12" s="316">
        <f>'Inhalation Exposures'!R74</f>
        <v>1.6506236244017564E-2</v>
      </c>
      <c r="I12" s="329"/>
      <c r="J12" s="329"/>
      <c r="K12" s="329"/>
      <c r="L12" s="329"/>
      <c r="M12" s="1"/>
      <c r="N12" s="565" t="s">
        <v>464</v>
      </c>
      <c r="O12" s="71" t="s">
        <v>103</v>
      </c>
      <c r="P12" s="316">
        <f>P10/'List Values'!$B$16</f>
        <v>3.19</v>
      </c>
      <c r="Q12" s="316">
        <f>Q10/'List Values'!$B$16</f>
        <v>0.04</v>
      </c>
      <c r="R12" s="316">
        <f>R10/'List Values'!$B$16</f>
        <v>2.8000000000000004E-2</v>
      </c>
      <c r="S12" s="316">
        <f>S10/'List Values'!$B$16</f>
        <v>1.2E-2</v>
      </c>
      <c r="T12" s="67"/>
    </row>
    <row r="13" spans="2:21" ht="15.75" x14ac:dyDescent="0.25">
      <c r="C13" s="88" t="s">
        <v>28</v>
      </c>
      <c r="D13" s="591"/>
      <c r="E13" s="316">
        <f>'Inhalation Exposures'!J81</f>
        <v>6.1314082626080742E-2</v>
      </c>
      <c r="F13" s="316">
        <f>'Inhalation Exposures'!L81</f>
        <v>4.1710260289850844E-2</v>
      </c>
      <c r="G13" s="316">
        <f>'Inhalation Exposures'!P81</f>
        <v>2.8568671431404687E-2</v>
      </c>
      <c r="H13" s="316">
        <f>'Inhalation Exposures'!R81</f>
        <v>1.1354215568891607E-2</v>
      </c>
      <c r="I13" s="329"/>
      <c r="J13" s="329"/>
      <c r="K13" s="329"/>
      <c r="L13" s="329"/>
      <c r="M13" s="1"/>
      <c r="N13" s="565"/>
      <c r="O13" s="71" t="s">
        <v>27</v>
      </c>
      <c r="P13" s="316">
        <f>P11/'List Values'!$B$16</f>
        <v>1.1919999999999999</v>
      </c>
      <c r="Q13" s="316">
        <f>Q11/'List Values'!$B$16</f>
        <v>1.4000000000000002E-2</v>
      </c>
      <c r="R13" s="316">
        <f>R11/'List Values'!$B$16</f>
        <v>0.01</v>
      </c>
      <c r="S13" s="316">
        <f>S11/'List Values'!$B$16</f>
        <v>4.0000000000000001E-3</v>
      </c>
      <c r="T13" s="67"/>
    </row>
    <row r="14" spans="2:21" x14ac:dyDescent="0.2">
      <c r="N14" s="565" t="s">
        <v>465</v>
      </c>
      <c r="O14" s="71" t="s">
        <v>103</v>
      </c>
      <c r="P14" s="316">
        <f>P10/'List Values'!$B$17</f>
        <v>1.595</v>
      </c>
      <c r="Q14" s="316">
        <f>Q10/'List Values'!$B$17</f>
        <v>0.02</v>
      </c>
      <c r="R14" s="316">
        <f>R10/'List Values'!$B$17</f>
        <v>1.4000000000000002E-2</v>
      </c>
      <c r="S14" s="316">
        <f>S10/'List Values'!$B$17</f>
        <v>6.0000000000000001E-3</v>
      </c>
    </row>
    <row r="15" spans="2:21" ht="21" x14ac:dyDescent="0.35">
      <c r="C15" s="83" t="s">
        <v>105</v>
      </c>
      <c r="N15" s="565"/>
      <c r="O15" s="71" t="s">
        <v>27</v>
      </c>
      <c r="P15" s="316">
        <f>P11/'List Values'!$B$17</f>
        <v>0.59599999999999997</v>
      </c>
      <c r="Q15" s="316">
        <f>Q11/'List Values'!$B$17</f>
        <v>7.000000000000001E-3</v>
      </c>
      <c r="R15" s="316">
        <f>R11/'List Values'!$B$17</f>
        <v>5.0000000000000001E-3</v>
      </c>
      <c r="S15" s="316">
        <f>S11/'List Values'!$B$17</f>
        <v>2E-3</v>
      </c>
    </row>
    <row r="16" spans="2:21" ht="28.5" customHeight="1" x14ac:dyDescent="0.2">
      <c r="B16" s="70"/>
      <c r="C16" s="568" t="s">
        <v>106</v>
      </c>
      <c r="D16" s="568" t="s">
        <v>107</v>
      </c>
      <c r="E16" s="568" t="s">
        <v>23</v>
      </c>
      <c r="F16" s="568" t="s">
        <v>108</v>
      </c>
      <c r="G16" s="568" t="s">
        <v>109</v>
      </c>
      <c r="H16" s="568"/>
      <c r="I16" s="90"/>
      <c r="J16" s="90"/>
      <c r="K16" s="90"/>
      <c r="L16" s="90"/>
      <c r="M16" s="90"/>
      <c r="N16" s="565" t="s">
        <v>466</v>
      </c>
      <c r="O16" s="71" t="s">
        <v>103</v>
      </c>
      <c r="P16" s="316">
        <f>P10/'List Values'!$B$18</f>
        <v>0.79749999999999999</v>
      </c>
      <c r="Q16" s="316">
        <f>Q10/'List Values'!$B$18</f>
        <v>0.01</v>
      </c>
      <c r="R16" s="316">
        <f>R10/'List Values'!$B$18</f>
        <v>7.000000000000001E-3</v>
      </c>
      <c r="S16" s="316">
        <f>S10/'List Values'!$B$18</f>
        <v>3.0000000000000001E-3</v>
      </c>
    </row>
    <row r="17" spans="2:19" ht="26.1" customHeight="1" x14ac:dyDescent="0.2">
      <c r="B17" s="70"/>
      <c r="C17" s="568"/>
      <c r="D17" s="568"/>
      <c r="E17" s="568"/>
      <c r="F17" s="568"/>
      <c r="G17" s="413" t="s">
        <v>110</v>
      </c>
      <c r="H17" s="413" t="s">
        <v>111</v>
      </c>
      <c r="I17" s="90"/>
      <c r="J17" s="90"/>
      <c r="K17" s="90"/>
      <c r="L17" s="90"/>
      <c r="M17" s="90"/>
      <c r="N17" s="565"/>
      <c r="O17" s="71" t="s">
        <v>27</v>
      </c>
      <c r="P17" s="316">
        <f>P11/'List Values'!$B$18</f>
        <v>0.29799999999999999</v>
      </c>
      <c r="Q17" s="316">
        <f>Q11/'List Values'!$B$18</f>
        <v>3.5000000000000005E-3</v>
      </c>
      <c r="R17" s="316">
        <f>R11/'List Values'!$B$18</f>
        <v>2.5000000000000001E-3</v>
      </c>
      <c r="S17" s="316">
        <f>S11/'List Values'!$B$18</f>
        <v>1E-3</v>
      </c>
    </row>
    <row r="18" spans="2:19" ht="27.6" customHeight="1" x14ac:dyDescent="0.2">
      <c r="B18" s="70"/>
      <c r="C18" s="577" t="s">
        <v>198</v>
      </c>
      <c r="D18" s="580">
        <v>37.194773111428944</v>
      </c>
      <c r="E18" s="71" t="s">
        <v>103</v>
      </c>
      <c r="F18" s="100">
        <v>10</v>
      </c>
      <c r="G18" s="101">
        <f>D18/$F$10</f>
        <v>136.29491054343524</v>
      </c>
      <c r="H18" s="102">
        <f>D18/$F$11</f>
        <v>194.94723032872344</v>
      </c>
      <c r="I18" s="330"/>
      <c r="J18" s="330"/>
      <c r="K18" s="330"/>
      <c r="L18" s="330"/>
      <c r="M18" s="77"/>
    </row>
    <row r="19" spans="2:19" ht="25.5" customHeight="1" x14ac:dyDescent="0.35">
      <c r="B19" s="70"/>
      <c r="C19" s="577"/>
      <c r="D19" s="555"/>
      <c r="E19" s="71" t="s">
        <v>27</v>
      </c>
      <c r="F19" s="100">
        <v>10</v>
      </c>
      <c r="G19" s="101">
        <f>D18/$F$12</f>
        <v>613.40610295811871</v>
      </c>
      <c r="H19" s="102">
        <f>D18/$F$13</f>
        <v>891.74157276787287</v>
      </c>
      <c r="I19" s="330"/>
      <c r="J19" s="330"/>
      <c r="K19" s="330"/>
      <c r="L19" s="330"/>
      <c r="M19" s="77"/>
      <c r="N19" s="83" t="s">
        <v>113</v>
      </c>
    </row>
    <row r="20" spans="2:19"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19" s="85" customFormat="1" ht="27.75" x14ac:dyDescent="0.35">
      <c r="B21" s="83"/>
      <c r="C21" s="83" t="s">
        <v>122</v>
      </c>
      <c r="F21" s="86"/>
      <c r="N21" s="571"/>
      <c r="O21" s="571"/>
      <c r="P21" s="571"/>
      <c r="Q21" s="571"/>
      <c r="R21" s="422" t="s">
        <v>116</v>
      </c>
      <c r="S21" s="66"/>
    </row>
    <row r="22" spans="2:19" ht="33" customHeight="1" x14ac:dyDescent="0.2">
      <c r="B22" s="79"/>
      <c r="C22" s="568" t="s">
        <v>106</v>
      </c>
      <c r="D22" s="568" t="s">
        <v>107</v>
      </c>
      <c r="E22" s="568" t="s">
        <v>23</v>
      </c>
      <c r="F22" s="568" t="s">
        <v>108</v>
      </c>
      <c r="G22" s="568" t="s">
        <v>123</v>
      </c>
      <c r="H22" s="568"/>
      <c r="I22" s="90"/>
      <c r="J22" s="90"/>
      <c r="K22" s="90"/>
      <c r="L22" s="90"/>
      <c r="M22" s="90"/>
      <c r="N22" s="577" t="s">
        <v>199</v>
      </c>
      <c r="O22" s="589">
        <v>17</v>
      </c>
      <c r="P22" s="72" t="s">
        <v>103</v>
      </c>
      <c r="Q22" s="412">
        <v>30</v>
      </c>
      <c r="R22" s="101">
        <f>IFERROR(O22/Q10, "")</f>
        <v>85</v>
      </c>
    </row>
    <row r="23" spans="2:19" ht="24" customHeight="1" x14ac:dyDescent="0.2">
      <c r="B23" s="79"/>
      <c r="C23" s="582"/>
      <c r="D23" s="568"/>
      <c r="E23" s="568"/>
      <c r="F23" s="568"/>
      <c r="G23" s="413" t="s">
        <v>110</v>
      </c>
      <c r="H23" s="413" t="s">
        <v>111</v>
      </c>
      <c r="I23" s="90"/>
      <c r="J23" s="90"/>
      <c r="K23" s="90"/>
      <c r="L23" s="90"/>
      <c r="M23" s="90"/>
      <c r="N23" s="577"/>
      <c r="O23" s="590"/>
      <c r="P23" s="72" t="s">
        <v>27</v>
      </c>
      <c r="Q23" s="412">
        <v>30</v>
      </c>
      <c r="R23" s="101">
        <f>IFERROR(O22/Q11, "")</f>
        <v>242.85714285714283</v>
      </c>
    </row>
    <row r="24" spans="2:19" ht="33" customHeight="1" x14ac:dyDescent="0.2">
      <c r="B24" s="79"/>
      <c r="C24" s="577" t="s">
        <v>200</v>
      </c>
      <c r="D24" s="578">
        <v>2.2730139123651023</v>
      </c>
      <c r="E24" s="72" t="s">
        <v>103</v>
      </c>
      <c r="F24" s="100">
        <v>30</v>
      </c>
      <c r="G24" s="419">
        <f>D24/$G$10</f>
        <v>12.16053479626428</v>
      </c>
      <c r="H24" s="419">
        <f>D24/$G$11</f>
        <v>17.393625105996101</v>
      </c>
      <c r="I24" s="96"/>
      <c r="J24" s="96"/>
      <c r="K24" s="96"/>
      <c r="L24" s="96"/>
      <c r="M24" s="77"/>
      <c r="N24" s="74"/>
      <c r="O24" s="75"/>
      <c r="P24" s="81"/>
      <c r="R24" s="77"/>
    </row>
    <row r="25" spans="2:19" ht="33" customHeight="1" x14ac:dyDescent="0.35">
      <c r="B25" s="79"/>
      <c r="C25" s="577"/>
      <c r="D25" s="559"/>
      <c r="E25" s="72" t="s">
        <v>27</v>
      </c>
      <c r="F25" s="100">
        <v>30</v>
      </c>
      <c r="G25" s="419">
        <f>D24/$G$12</f>
        <v>54.729455630596597</v>
      </c>
      <c r="H25" s="419">
        <f>D24/$G$13</f>
        <v>79.563164770289106</v>
      </c>
      <c r="I25" s="96"/>
      <c r="J25" s="96"/>
      <c r="K25" s="96"/>
      <c r="L25" s="96"/>
      <c r="M25" s="77"/>
      <c r="N25" s="83" t="s">
        <v>125</v>
      </c>
      <c r="O25" s="85"/>
      <c r="P25" s="85"/>
      <c r="Q25" s="85"/>
      <c r="R25" s="85"/>
      <c r="S25" s="85"/>
    </row>
    <row r="26" spans="2:19" ht="25.5" x14ac:dyDescent="0.2">
      <c r="B26" s="79"/>
      <c r="C26" s="80"/>
      <c r="D26" s="75"/>
      <c r="E26" s="81"/>
      <c r="F26" s="75"/>
      <c r="G26" s="77"/>
      <c r="H26" s="77"/>
      <c r="I26" s="77"/>
      <c r="J26" s="77"/>
      <c r="K26" s="77"/>
      <c r="L26" s="77"/>
      <c r="M26" s="77"/>
      <c r="N26" s="566" t="s">
        <v>106</v>
      </c>
      <c r="O26" s="566" t="s">
        <v>121</v>
      </c>
      <c r="P26" s="566" t="s">
        <v>23</v>
      </c>
      <c r="Q26" s="566" t="s">
        <v>108</v>
      </c>
      <c r="R26" s="411" t="s">
        <v>123</v>
      </c>
    </row>
    <row r="27" spans="2:19" ht="33" customHeight="1" x14ac:dyDescent="0.35">
      <c r="B27" s="79"/>
      <c r="C27" s="83" t="s">
        <v>126</v>
      </c>
      <c r="D27" s="85"/>
      <c r="E27" s="85"/>
      <c r="F27" s="85"/>
      <c r="G27" s="85"/>
      <c r="H27" s="85"/>
      <c r="I27" s="85"/>
      <c r="J27" s="85"/>
      <c r="K27" s="85"/>
      <c r="L27" s="85"/>
      <c r="M27" s="77"/>
      <c r="N27" s="581"/>
      <c r="O27" s="567"/>
      <c r="P27" s="567"/>
      <c r="Q27" s="567"/>
      <c r="R27" s="411" t="s">
        <v>116</v>
      </c>
    </row>
    <row r="28" spans="2:19" ht="33" customHeight="1" x14ac:dyDescent="0.2">
      <c r="B28" s="79"/>
      <c r="C28" s="582" t="s">
        <v>127</v>
      </c>
      <c r="D28" s="566" t="s">
        <v>128</v>
      </c>
      <c r="E28" s="566" t="s">
        <v>23</v>
      </c>
      <c r="F28" s="583" t="s">
        <v>129</v>
      </c>
      <c r="G28" s="568" t="s">
        <v>130</v>
      </c>
      <c r="H28" s="568"/>
      <c r="I28" s="90"/>
      <c r="J28" s="90"/>
      <c r="K28" s="90"/>
      <c r="L28" s="90"/>
      <c r="M28" s="77"/>
      <c r="N28" s="577" t="s">
        <v>200</v>
      </c>
      <c r="O28" s="580">
        <v>1.7</v>
      </c>
      <c r="P28" s="72" t="s">
        <v>103</v>
      </c>
      <c r="Q28" s="412">
        <v>30</v>
      </c>
      <c r="R28" s="107">
        <f>IFERROR(O28/$R$10, "")</f>
        <v>12.142857142857141</v>
      </c>
    </row>
    <row r="29" spans="2:19" ht="33" customHeight="1" x14ac:dyDescent="0.2">
      <c r="B29" s="79"/>
      <c r="C29" s="608"/>
      <c r="D29" s="567"/>
      <c r="E29" s="567"/>
      <c r="F29" s="584"/>
      <c r="G29" s="413" t="s">
        <v>131</v>
      </c>
      <c r="H29" s="413" t="s">
        <v>28</v>
      </c>
      <c r="I29" s="90"/>
      <c r="J29" s="90"/>
      <c r="K29" s="90"/>
      <c r="L29" s="90"/>
      <c r="M29" s="77"/>
      <c r="N29" s="577"/>
      <c r="O29" s="555"/>
      <c r="P29" s="72" t="s">
        <v>27</v>
      </c>
      <c r="Q29" s="412">
        <v>30</v>
      </c>
      <c r="R29" s="107">
        <f>IFERROR(O28/$R$11, "")</f>
        <v>34</v>
      </c>
    </row>
    <row r="30" spans="2:19" ht="33" customHeight="1" x14ac:dyDescent="0.2">
      <c r="B30" s="79"/>
      <c r="C30" s="604" t="s">
        <v>201</v>
      </c>
      <c r="D30" s="574">
        <v>3.7747239263803682E-2</v>
      </c>
      <c r="E30" s="71" t="s">
        <v>103</v>
      </c>
      <c r="F30" s="106">
        <v>1E-4</v>
      </c>
      <c r="G30" s="103">
        <f>H10*D30</f>
        <v>3.6182619216316718E-3</v>
      </c>
      <c r="H30" s="403">
        <f>H11*D30</f>
        <v>2.5296624327514048E-3</v>
      </c>
      <c r="I30" s="331"/>
      <c r="J30" s="331"/>
      <c r="K30" s="331"/>
      <c r="L30" s="331"/>
      <c r="M30" s="77"/>
    </row>
    <row r="31" spans="2:19" ht="33" customHeight="1" x14ac:dyDescent="0.35">
      <c r="B31" s="79"/>
      <c r="C31" s="604"/>
      <c r="D31" s="575"/>
      <c r="E31" s="71" t="s">
        <v>27</v>
      </c>
      <c r="F31" s="106">
        <v>1E-4</v>
      </c>
      <c r="G31" s="105">
        <f>H12*D30</f>
        <v>6.2306484884779923E-4</v>
      </c>
      <c r="H31" s="289">
        <f>H13*D30</f>
        <v>4.2859029173175633E-4</v>
      </c>
      <c r="I31" s="336"/>
      <c r="J31" s="336"/>
      <c r="K31" s="336"/>
      <c r="L31" s="336"/>
      <c r="M31" s="77"/>
      <c r="N31" s="83" t="s">
        <v>126</v>
      </c>
      <c r="O31" s="85"/>
      <c r="P31" s="85"/>
      <c r="R31" s="85"/>
    </row>
    <row r="32" spans="2:19" ht="33" customHeight="1" x14ac:dyDescent="0.2">
      <c r="B32" s="79"/>
      <c r="I32" s="77"/>
      <c r="J32" s="77"/>
      <c r="K32" s="77"/>
      <c r="L32" s="77"/>
      <c r="M32" s="77"/>
      <c r="N32" s="566" t="s">
        <v>127</v>
      </c>
      <c r="O32" s="566" t="s">
        <v>133</v>
      </c>
      <c r="P32" s="566" t="s">
        <v>23</v>
      </c>
      <c r="Q32" s="566" t="s">
        <v>129</v>
      </c>
      <c r="R32" s="411" t="s">
        <v>130</v>
      </c>
    </row>
    <row r="33" spans="2:20" ht="33" customHeight="1" x14ac:dyDescent="0.35">
      <c r="B33" s="79"/>
      <c r="C33" s="83" t="s">
        <v>134</v>
      </c>
      <c r="I33" s="77"/>
      <c r="J33" s="77"/>
      <c r="K33" s="77"/>
      <c r="L33" s="77"/>
      <c r="M33" s="77"/>
      <c r="N33" s="581"/>
      <c r="O33" s="567"/>
      <c r="P33" s="567"/>
      <c r="Q33" s="567"/>
      <c r="R33" s="411" t="s">
        <v>135</v>
      </c>
    </row>
    <row r="34" spans="2:20" ht="33" customHeight="1" thickBot="1" x14ac:dyDescent="0.4">
      <c r="B34" s="79"/>
      <c r="C34" s="83"/>
      <c r="I34" s="77"/>
      <c r="J34" s="77"/>
      <c r="K34" s="77"/>
      <c r="L34" s="77"/>
      <c r="M34" s="77"/>
      <c r="N34" s="604" t="s">
        <v>201</v>
      </c>
      <c r="O34" s="574">
        <v>0.05</v>
      </c>
      <c r="P34" s="71" t="s">
        <v>103</v>
      </c>
      <c r="Q34" s="107">
        <v>1E-4</v>
      </c>
      <c r="R34" s="107">
        <f>IFERROR(S10*O34, "")</f>
        <v>3.0000000000000001E-3</v>
      </c>
    </row>
    <row r="35" spans="2:20" ht="33" customHeight="1" x14ac:dyDescent="0.25">
      <c r="B35" s="79"/>
      <c r="C35" s="325" t="s">
        <v>136</v>
      </c>
      <c r="I35" s="77"/>
      <c r="J35" s="77"/>
      <c r="K35" s="77"/>
      <c r="L35" s="77"/>
      <c r="M35" s="77"/>
      <c r="N35" s="604"/>
      <c r="O35" s="575"/>
      <c r="P35" s="71" t="s">
        <v>27</v>
      </c>
      <c r="Q35" s="107">
        <v>1E-4</v>
      </c>
      <c r="R35" s="107">
        <f>IFERROR(S11*O34, "")</f>
        <v>1E-3</v>
      </c>
    </row>
    <row r="36" spans="2:20" ht="33" customHeight="1" thickBot="1" x14ac:dyDescent="0.3">
      <c r="B36" s="79"/>
      <c r="C36" s="326" t="s">
        <v>30</v>
      </c>
      <c r="I36" s="77"/>
      <c r="J36" s="77"/>
      <c r="K36" s="77"/>
      <c r="L36" s="77"/>
      <c r="M36" s="77"/>
    </row>
    <row r="37" spans="2:20" ht="33" customHeight="1" x14ac:dyDescent="0.35">
      <c r="B37" s="79"/>
      <c r="C37" s="317"/>
      <c r="I37" s="77"/>
      <c r="J37" s="77"/>
      <c r="K37" s="77"/>
      <c r="L37" s="77"/>
      <c r="M37" s="77"/>
      <c r="N37" s="83" t="s">
        <v>137</v>
      </c>
    </row>
    <row r="38" spans="2:20" ht="33" customHeight="1" thickBot="1" x14ac:dyDescent="0.25">
      <c r="B38" s="79"/>
      <c r="I38" s="77"/>
      <c r="J38" s="77"/>
      <c r="K38" s="77"/>
      <c r="L38" s="77"/>
      <c r="M38" s="77"/>
    </row>
    <row r="39" spans="2:20" ht="33" customHeight="1" x14ac:dyDescent="0.2">
      <c r="B39" s="548" t="s">
        <v>138</v>
      </c>
      <c r="C39" s="540" t="s">
        <v>107</v>
      </c>
      <c r="D39" s="540" t="s">
        <v>23</v>
      </c>
      <c r="E39" s="540" t="s">
        <v>108</v>
      </c>
      <c r="F39" s="540" t="str">
        <f>_xlfn.CONCAT("Exposure Estimates: ",$C$42," MOE")</f>
        <v>Exposure Estimates:  MOE</v>
      </c>
      <c r="G39" s="540"/>
      <c r="H39" s="540"/>
      <c r="I39" s="540"/>
      <c r="J39" s="540"/>
      <c r="K39" s="542"/>
      <c r="L39" s="90"/>
      <c r="M39" s="77"/>
      <c r="N39" s="532" t="s">
        <v>121</v>
      </c>
      <c r="O39" s="540" t="s">
        <v>23</v>
      </c>
      <c r="P39" s="540" t="s">
        <v>108</v>
      </c>
      <c r="Q39" s="540" t="str">
        <f>_xlfn.CONCAT("Exposure Estimates: ",$C$42," MOE")</f>
        <v>Exposure Estimates:  MOE</v>
      </c>
      <c r="R39" s="540"/>
      <c r="S39" s="540"/>
      <c r="T39" s="542"/>
    </row>
    <row r="40" spans="2:20" ht="33" customHeight="1" thickBot="1" x14ac:dyDescent="0.25">
      <c r="B40" s="549"/>
      <c r="C40" s="541"/>
      <c r="D40" s="541"/>
      <c r="E40" s="541"/>
      <c r="F40" s="416" t="s">
        <v>139</v>
      </c>
      <c r="G40" s="416" t="s">
        <v>34</v>
      </c>
      <c r="H40" s="416" t="s">
        <v>35</v>
      </c>
      <c r="I40" s="416" t="s">
        <v>32</v>
      </c>
      <c r="J40" s="416" t="s">
        <v>140</v>
      </c>
      <c r="K40" s="290" t="s">
        <v>31</v>
      </c>
      <c r="L40" s="90"/>
      <c r="M40" s="77"/>
      <c r="N40" s="533"/>
      <c r="O40" s="541"/>
      <c r="P40" s="541"/>
      <c r="Q40" s="318" t="s">
        <v>135</v>
      </c>
      <c r="R40" s="318" t="s">
        <v>33</v>
      </c>
      <c r="S40" s="318" t="s">
        <v>141</v>
      </c>
      <c r="T40" s="319" t="s">
        <v>142</v>
      </c>
    </row>
    <row r="41" spans="2:20" ht="33" customHeight="1" x14ac:dyDescent="0.2">
      <c r="B41" s="550" t="s">
        <v>143</v>
      </c>
      <c r="C41" s="555">
        <v>37.194773111428944</v>
      </c>
      <c r="D41" s="292" t="s">
        <v>103</v>
      </c>
      <c r="E41" s="421">
        <v>10</v>
      </c>
      <c r="F41" s="304">
        <f>IFERROR($C41/IF($C$36="Worker",$F$10,$F$11), "")</f>
        <v>136.29491054343524</v>
      </c>
      <c r="G41" s="305">
        <f>IFERROR($F41*'List Values'!$B$9, "")</f>
        <v>1362.9491054343523</v>
      </c>
      <c r="H41" s="305">
        <f>IFERROR($F41*'List Values'!$B$10, "")</f>
        <v>3407.3727635858809</v>
      </c>
      <c r="I41" s="305">
        <f>IFERROR($F41*'List Values'!$B$11, "")</f>
        <v>6814.7455271717618</v>
      </c>
      <c r="J41" s="305">
        <f>IFERROR($F41*'List Values'!$B$12, "")</f>
        <v>136294.91054343522</v>
      </c>
      <c r="K41" s="306">
        <f>IFERROR($F41*'List Values'!$B$13, "")</f>
        <v>1362949.1054343523</v>
      </c>
      <c r="L41" s="330"/>
      <c r="M41" s="77"/>
      <c r="N41" s="534">
        <v>17</v>
      </c>
      <c r="O41" s="292" t="s">
        <v>103</v>
      </c>
      <c r="P41" s="421">
        <v>30</v>
      </c>
      <c r="Q41" s="305">
        <f>IFERROR($N41/Q$10, "")</f>
        <v>85</v>
      </c>
      <c r="R41" s="305">
        <f>IFERROR($N41/$Q$12, "")</f>
        <v>425</v>
      </c>
      <c r="S41" s="305">
        <f>IFERROR($N41/$Q$14, "")</f>
        <v>850</v>
      </c>
      <c r="T41" s="306">
        <f>IFERROR($N41/$Q$16, "")</f>
        <v>1700</v>
      </c>
    </row>
    <row r="42" spans="2:20" ht="33" customHeight="1" thickBot="1" x14ac:dyDescent="0.25">
      <c r="B42" s="551"/>
      <c r="C42" s="556"/>
      <c r="D42" s="293" t="s">
        <v>27</v>
      </c>
      <c r="E42" s="418">
        <v>10</v>
      </c>
      <c r="F42" s="303">
        <f>IFERROR($C41/IF($C$36="Worker",$F$12,$F$13), "")</f>
        <v>613.40610295811871</v>
      </c>
      <c r="G42" s="303">
        <f>IFERROR($F42*'List Values'!$B$9, "")</f>
        <v>6134.0610295811875</v>
      </c>
      <c r="H42" s="303">
        <f>IFERROR($F42*'List Values'!$B$10, "")</f>
        <v>15335.152573952968</v>
      </c>
      <c r="I42" s="303">
        <f>IFERROR($F42*'List Values'!$B$11, "")</f>
        <v>30670.305147905936</v>
      </c>
      <c r="J42" s="303">
        <f>IFERROR($F42*'List Values'!$B$12, "")</f>
        <v>613406.10295811866</v>
      </c>
      <c r="K42" s="307">
        <f>IFERROR($F42*'List Values'!$B$13, "")</f>
        <v>6134061.0295811873</v>
      </c>
      <c r="L42" s="330"/>
      <c r="M42" s="77"/>
      <c r="N42" s="535"/>
      <c r="O42" s="293" t="s">
        <v>27</v>
      </c>
      <c r="P42" s="418">
        <v>30</v>
      </c>
      <c r="Q42" s="321">
        <f>IFERROR($N41/$Q$11, "")</f>
        <v>242.85714285714283</v>
      </c>
      <c r="R42" s="321">
        <f>IFERROR($N41/$Q$13, "")</f>
        <v>1214.2857142857142</v>
      </c>
      <c r="S42" s="321">
        <f>IFERROR($N41/$Q$15, "")</f>
        <v>2428.5714285714284</v>
      </c>
      <c r="T42" s="322">
        <f>IFERROR($N41/$Q$17, "")</f>
        <v>4857.1428571428569</v>
      </c>
    </row>
    <row r="43" spans="2:20" ht="33" customHeight="1" x14ac:dyDescent="0.2">
      <c r="B43" s="553" t="s">
        <v>145</v>
      </c>
      <c r="C43" s="555">
        <v>2.2730139123651023</v>
      </c>
      <c r="D43" s="292" t="s">
        <v>103</v>
      </c>
      <c r="E43" s="421">
        <v>30</v>
      </c>
      <c r="F43" s="304">
        <f>IFERROR($C43/IF($C$36="Worker",$G$10,$G$11), "")</f>
        <v>12.16053479626428</v>
      </c>
      <c r="G43" s="305">
        <f>IFERROR($F43*'List Values'!$B$9, "")</f>
        <v>121.6053479626428</v>
      </c>
      <c r="H43" s="305">
        <f>IFERROR($F43*'List Values'!$B$10, "")</f>
        <v>304.01336990660701</v>
      </c>
      <c r="I43" s="305">
        <f>IFERROR($F43*'List Values'!$B$11, "")</f>
        <v>608.02673981321402</v>
      </c>
      <c r="J43" s="305">
        <f>IFERROR($F43*'List Values'!$B$12, "")</f>
        <v>12160.534796264279</v>
      </c>
      <c r="K43" s="306">
        <f>IFERROR($F43*'List Values'!$B$13, "")</f>
        <v>121605.3479626428</v>
      </c>
      <c r="L43" s="330"/>
      <c r="M43" s="77"/>
      <c r="N43" s="534">
        <v>1.7</v>
      </c>
      <c r="O43" s="292" t="s">
        <v>103</v>
      </c>
      <c r="P43" s="421">
        <v>30</v>
      </c>
      <c r="Q43" s="323">
        <f>IFERROR($N$43/$R$10, "")</f>
        <v>12.142857142857141</v>
      </c>
      <c r="R43" s="323">
        <f>IFERROR($N$43/$R$12, "")</f>
        <v>60.714285714285701</v>
      </c>
      <c r="S43" s="323">
        <f>IFERROR($N$43/$R$14, "")</f>
        <v>121.4285714285714</v>
      </c>
      <c r="T43" s="323">
        <f>IFERROR($N$43/$R$16, "")</f>
        <v>242.8571428571428</v>
      </c>
    </row>
    <row r="44" spans="2:20" ht="33" customHeight="1" thickBot="1" x14ac:dyDescent="0.25">
      <c r="B44" s="554"/>
      <c r="C44" s="556"/>
      <c r="D44" s="293" t="s">
        <v>27</v>
      </c>
      <c r="E44" s="418">
        <v>30</v>
      </c>
      <c r="F44" s="303">
        <f>IFERROR($C43/IF($C$36="Worker",$G$12,$G$13), "")</f>
        <v>54.729455630596597</v>
      </c>
      <c r="G44" s="303">
        <f>IFERROR($F44*'List Values'!$B$9, "")</f>
        <v>547.29455630596601</v>
      </c>
      <c r="H44" s="303">
        <f>IFERROR($F44*'List Values'!$B$10, "")</f>
        <v>1368.2363907649149</v>
      </c>
      <c r="I44" s="303">
        <f>IFERROR($F44*'List Values'!$B$11, "")</f>
        <v>2736.4727815298297</v>
      </c>
      <c r="J44" s="303">
        <f>IFERROR($F44*'List Values'!$B$12, "")</f>
        <v>54729.455630596596</v>
      </c>
      <c r="K44" s="307">
        <f>IFERROR($F44*'List Values'!$B$13, "")</f>
        <v>547294.55630596599</v>
      </c>
      <c r="L44" s="330"/>
      <c r="M44" s="77"/>
      <c r="N44" s="603"/>
      <c r="O44" s="320" t="s">
        <v>27</v>
      </c>
      <c r="P44" s="420">
        <v>30</v>
      </c>
      <c r="Q44" s="323">
        <f>IFERROR($N$43/$R$11, "")</f>
        <v>34</v>
      </c>
      <c r="R44" s="323">
        <f>IFERROR($N$43/$R$13, "")</f>
        <v>170</v>
      </c>
      <c r="S44" s="323">
        <f>IFERROR($N$43/$R$15, "")</f>
        <v>340</v>
      </c>
      <c r="T44" s="323">
        <f>IFERROR($N$43/$R$17, "")</f>
        <v>680</v>
      </c>
    </row>
    <row r="45" spans="2:20" ht="33" customHeight="1" x14ac:dyDescent="0.2">
      <c r="B45" s="294"/>
      <c r="C45" s="547" t="s">
        <v>146</v>
      </c>
      <c r="D45" s="530" t="s">
        <v>23</v>
      </c>
      <c r="E45" s="530" t="s">
        <v>108</v>
      </c>
      <c r="F45" s="530" t="str">
        <f>_xlfn.CONCAT("Exposure Estimates: ",$C$42," MOE")</f>
        <v>Exposure Estimates:  MOE</v>
      </c>
      <c r="G45" s="530"/>
      <c r="H45" s="530"/>
      <c r="I45" s="530"/>
      <c r="J45" s="530"/>
      <c r="K45" s="531"/>
      <c r="L45" s="90"/>
      <c r="M45" s="77"/>
      <c r="N45" s="532" t="s">
        <v>147</v>
      </c>
      <c r="O45" s="540" t="s">
        <v>23</v>
      </c>
      <c r="P45" s="540" t="s">
        <v>108</v>
      </c>
      <c r="Q45" s="540" t="str">
        <f>_xlfn.CONCAT("Exposure Estimates: ",$I$4," MOE")</f>
        <v>Exposure Estimates:  MOE</v>
      </c>
      <c r="R45" s="540"/>
      <c r="S45" s="540"/>
      <c r="T45" s="542"/>
    </row>
    <row r="46" spans="2:20" ht="33" customHeight="1" thickBot="1" x14ac:dyDescent="0.25">
      <c r="B46" s="294"/>
      <c r="C46" s="533"/>
      <c r="D46" s="541"/>
      <c r="E46" s="541"/>
      <c r="F46" s="416" t="s">
        <v>139</v>
      </c>
      <c r="G46" s="416" t="s">
        <v>34</v>
      </c>
      <c r="H46" s="416" t="s">
        <v>35</v>
      </c>
      <c r="I46" s="416" t="s">
        <v>32</v>
      </c>
      <c r="J46" s="416" t="s">
        <v>140</v>
      </c>
      <c r="K46" s="290" t="s">
        <v>31</v>
      </c>
      <c r="L46" s="90"/>
      <c r="M46" s="77"/>
      <c r="N46" s="533"/>
      <c r="O46" s="541"/>
      <c r="P46" s="541"/>
      <c r="Q46" s="318" t="s">
        <v>135</v>
      </c>
      <c r="R46" s="318" t="s">
        <v>33</v>
      </c>
      <c r="S46" s="318" t="s">
        <v>141</v>
      </c>
      <c r="T46" s="319" t="s">
        <v>142</v>
      </c>
    </row>
    <row r="47" spans="2:20" ht="33" customHeight="1" x14ac:dyDescent="0.2">
      <c r="B47" s="545" t="s">
        <v>148</v>
      </c>
      <c r="C47" s="599">
        <v>3.7747239263803682E-2</v>
      </c>
      <c r="D47" s="299" t="s">
        <v>103</v>
      </c>
      <c r="E47" s="334">
        <v>1E-4</v>
      </c>
      <c r="F47" s="340">
        <f>IFERROR($C47*IF($C$36="Worker",$H$10,$H$11), "")</f>
        <v>3.6182619216316718E-3</v>
      </c>
      <c r="G47" s="341">
        <f>IFERROR($F47/'List Values'!$B$9, "")</f>
        <v>3.618261921631672E-4</v>
      </c>
      <c r="H47" s="341">
        <f>IFERROR($F47/'List Values'!$B$10, "")</f>
        <v>1.4473047686526687E-4</v>
      </c>
      <c r="I47" s="341">
        <f>IFERROR($F47/'List Values'!$B$11, "")</f>
        <v>7.2365238432633435E-5</v>
      </c>
      <c r="J47" s="341">
        <f>IFERROR($F47/'List Values'!$B$12, "")</f>
        <v>3.6182619216316718E-6</v>
      </c>
      <c r="K47" s="342">
        <f>IFERROR($F47/'List Values'!$B$13, "")</f>
        <v>3.6182619216316719E-7</v>
      </c>
      <c r="L47" s="333"/>
      <c r="M47" s="77"/>
      <c r="N47" s="600">
        <v>0.05</v>
      </c>
      <c r="O47" s="299" t="s">
        <v>103</v>
      </c>
      <c r="P47" s="601">
        <v>1E-4</v>
      </c>
      <c r="Q47" s="301">
        <f>IFERROR($N$47*$S10, "")</f>
        <v>3.0000000000000001E-3</v>
      </c>
      <c r="R47" s="301">
        <f>IFERROR($N$47*$S12, "")</f>
        <v>6.0000000000000006E-4</v>
      </c>
      <c r="S47" s="301">
        <f>IFERROR($N$47*$S14, "")</f>
        <v>3.0000000000000003E-4</v>
      </c>
      <c r="T47" s="301">
        <f>IFERROR($N$47*$S16, "")</f>
        <v>1.5000000000000001E-4</v>
      </c>
    </row>
    <row r="48" spans="2:20" ht="33" customHeight="1" thickBot="1" x14ac:dyDescent="0.25">
      <c r="B48" s="546"/>
      <c r="C48" s="544"/>
      <c r="D48" s="293" t="s">
        <v>27</v>
      </c>
      <c r="E48" s="335">
        <v>1E-4</v>
      </c>
      <c r="F48" s="337">
        <f>IFERROR($C47*IF($C$36="Worker",$H$12,$H$13), "")</f>
        <v>6.2306484884779923E-4</v>
      </c>
      <c r="G48" s="338">
        <f>IFERROR($F48/'List Values'!$B$9, "")</f>
        <v>6.230648488477992E-5</v>
      </c>
      <c r="H48" s="338">
        <f>IFERROR($F48/'List Values'!$B$10, "")</f>
        <v>2.4922593953911969E-5</v>
      </c>
      <c r="I48" s="338">
        <f>IFERROR($F48/'List Values'!$B$11, "")</f>
        <v>1.2461296976955985E-5</v>
      </c>
      <c r="J48" s="338">
        <f>IFERROR($F48/'List Values'!$B$12, "")</f>
        <v>6.2306484884779928E-7</v>
      </c>
      <c r="K48" s="339">
        <f>IFERROR($F48/'List Values'!$B$13, "")</f>
        <v>6.2306484884779923E-8</v>
      </c>
      <c r="L48" s="333"/>
      <c r="M48" s="77"/>
      <c r="N48" s="564"/>
      <c r="O48" s="293" t="s">
        <v>27</v>
      </c>
      <c r="P48" s="602"/>
      <c r="Q48" s="321">
        <f>IFERROR($N$47*$S11, "")</f>
        <v>1E-3</v>
      </c>
      <c r="R48" s="321">
        <f>IFERROR($N$47*$S13, "")</f>
        <v>2.0000000000000001E-4</v>
      </c>
      <c r="S48" s="321">
        <f>IFERROR($N$47*$S15, "")</f>
        <v>1E-4</v>
      </c>
      <c r="T48" s="321">
        <f>IFERROR($N$47*$S17, "")</f>
        <v>5.0000000000000002E-5</v>
      </c>
    </row>
    <row r="49" spans="2:19" ht="33" customHeight="1" x14ac:dyDescent="0.2">
      <c r="B49" s="79"/>
      <c r="M49" s="77"/>
    </row>
    <row r="50" spans="2:19" ht="33" customHeight="1" x14ac:dyDescent="0.2">
      <c r="B50" s="79"/>
      <c r="M50" s="77"/>
    </row>
    <row r="51" spans="2:19" ht="33" customHeight="1" x14ac:dyDescent="0.2">
      <c r="B51" s="79"/>
      <c r="M51" s="77"/>
    </row>
    <row r="52" spans="2:19" ht="33" customHeight="1" x14ac:dyDescent="0.2">
      <c r="B52" s="79"/>
      <c r="M52" s="77"/>
    </row>
    <row r="53" spans="2:19" ht="33" customHeight="1" x14ac:dyDescent="0.2">
      <c r="B53" s="79"/>
      <c r="M53" s="77"/>
    </row>
    <row r="54" spans="2:19" ht="33" customHeight="1" x14ac:dyDescent="0.2">
      <c r="B54" s="79"/>
      <c r="M54" s="77"/>
    </row>
    <row r="55" spans="2:19" s="85" customFormat="1" ht="21" x14ac:dyDescent="0.35">
      <c r="C55" s="66"/>
      <c r="D55" s="66"/>
      <c r="E55" s="66"/>
      <c r="F55" s="66"/>
      <c r="G55" s="66"/>
      <c r="H55" s="66"/>
      <c r="I55" s="66"/>
      <c r="J55" s="66"/>
      <c r="K55" s="66"/>
      <c r="L55" s="66"/>
      <c r="N55" s="66"/>
      <c r="O55" s="66"/>
      <c r="P55" s="66"/>
      <c r="Q55" s="66"/>
      <c r="R55" s="66"/>
      <c r="S55" s="66"/>
    </row>
    <row r="56" spans="2:19" ht="25.5" customHeight="1" x14ac:dyDescent="0.2">
      <c r="B56" s="82"/>
      <c r="M56" s="90"/>
    </row>
    <row r="57" spans="2:19" ht="14.45" customHeight="1" x14ac:dyDescent="0.2">
      <c r="B57" s="82"/>
      <c r="M57" s="90"/>
    </row>
    <row r="58" spans="2:19" x14ac:dyDescent="0.2">
      <c r="B58" s="82"/>
      <c r="M58" s="89"/>
    </row>
    <row r="59" spans="2:19" ht="21" x14ac:dyDescent="0.35">
      <c r="B59" s="82"/>
      <c r="M59" s="89"/>
      <c r="N59" s="85"/>
    </row>
    <row r="63" spans="2:19" ht="29.1" customHeight="1" x14ac:dyDescent="0.2"/>
  </sheetData>
  <sheetProtection sheet="1" objects="1" scenarios="1" formatCells="0" formatColumns="0" formatRows="0"/>
  <mergeCells count="76">
    <mergeCell ref="C8:C9"/>
    <mergeCell ref="D8:D9"/>
    <mergeCell ref="N8:N9"/>
    <mergeCell ref="O8:O9"/>
    <mergeCell ref="D10:D11"/>
    <mergeCell ref="N10:N11"/>
    <mergeCell ref="Q20:Q21"/>
    <mergeCell ref="D12:D13"/>
    <mergeCell ref="N12:N13"/>
    <mergeCell ref="N14:N15"/>
    <mergeCell ref="C16:C17"/>
    <mergeCell ref="D16:D17"/>
    <mergeCell ref="E16:E17"/>
    <mergeCell ref="F16:F17"/>
    <mergeCell ref="G16:H16"/>
    <mergeCell ref="N16:N17"/>
    <mergeCell ref="C18:C19"/>
    <mergeCell ref="D18:D19"/>
    <mergeCell ref="N20:N21"/>
    <mergeCell ref="O20:O21"/>
    <mergeCell ref="P20:P21"/>
    <mergeCell ref="O22:O23"/>
    <mergeCell ref="C24:C25"/>
    <mergeCell ref="D24:D25"/>
    <mergeCell ref="N26:N27"/>
    <mergeCell ref="O26:O27"/>
    <mergeCell ref="C22:C23"/>
    <mergeCell ref="D22:D23"/>
    <mergeCell ref="E22:E23"/>
    <mergeCell ref="F22:F23"/>
    <mergeCell ref="G22:H22"/>
    <mergeCell ref="N22:N23"/>
    <mergeCell ref="Q32:Q33"/>
    <mergeCell ref="Q26:Q27"/>
    <mergeCell ref="C28:C29"/>
    <mergeCell ref="D28:D29"/>
    <mergeCell ref="E28:E29"/>
    <mergeCell ref="F28:F29"/>
    <mergeCell ref="G28:H28"/>
    <mergeCell ref="N28:N29"/>
    <mergeCell ref="O28:O29"/>
    <mergeCell ref="P26:P27"/>
    <mergeCell ref="C30:C31"/>
    <mergeCell ref="D30:D31"/>
    <mergeCell ref="N32:N33"/>
    <mergeCell ref="O32:O33"/>
    <mergeCell ref="P32:P33"/>
    <mergeCell ref="B43:B44"/>
    <mergeCell ref="C43:C44"/>
    <mergeCell ref="N43:N44"/>
    <mergeCell ref="N34:N35"/>
    <mergeCell ref="O34:O35"/>
    <mergeCell ref="B39:B40"/>
    <mergeCell ref="C39:C40"/>
    <mergeCell ref="D39:D40"/>
    <mergeCell ref="E39:E40"/>
    <mergeCell ref="F39:K39"/>
    <mergeCell ref="N39:N40"/>
    <mergeCell ref="O39:O40"/>
    <mergeCell ref="P39:P40"/>
    <mergeCell ref="Q39:T39"/>
    <mergeCell ref="B41:B42"/>
    <mergeCell ref="C41:C42"/>
    <mergeCell ref="N41:N42"/>
    <mergeCell ref="P45:P46"/>
    <mergeCell ref="Q45:T45"/>
    <mergeCell ref="B47:B48"/>
    <mergeCell ref="C47:C48"/>
    <mergeCell ref="N47:N48"/>
    <mergeCell ref="P47:P48"/>
    <mergeCell ref="C45:C46"/>
    <mergeCell ref="D45:D46"/>
    <mergeCell ref="E45:E46"/>
    <mergeCell ref="F45:K45"/>
    <mergeCell ref="N45:N46"/>
    <mergeCell ref="O45:O46"/>
  </mergeCells>
  <conditionalFormatting sqref="E10:L13">
    <cfRule type="cellIs" dxfId="135" priority="89" operator="lessThanOrEqual">
      <formula>0.1</formula>
    </cfRule>
    <cfRule type="cellIs" dxfId="134" priority="93" operator="between">
      <formula>0.1</formula>
      <formula>0.999</formula>
    </cfRule>
    <cfRule type="cellIs" dxfId="133" priority="92" operator="lessThan">
      <formula>0.1</formula>
    </cfRule>
    <cfRule type="cellIs" dxfId="132" priority="91" operator="equal">
      <formula>0</formula>
    </cfRule>
    <cfRule type="containsBlanks" dxfId="131" priority="90" stopIfTrue="1">
      <formula>LEN(TRIM(E10))=0</formula>
    </cfRule>
    <cfRule type="cellIs" dxfId="130" priority="88" operator="between">
      <formula>0.1</formula>
      <formula>0.999</formula>
    </cfRule>
    <cfRule type="cellIs" dxfId="129" priority="85" operator="greaterThanOrEqual">
      <formula>10000</formula>
    </cfRule>
    <cfRule type="cellIs" dxfId="128" priority="86" operator="greaterThanOrEqual">
      <formula>10</formula>
    </cfRule>
    <cfRule type="cellIs" dxfId="127" priority="96" operator="greaterThan">
      <formula>10000</formula>
    </cfRule>
    <cfRule type="cellIs" dxfId="126" priority="95" operator="greaterThan">
      <formula>10</formula>
    </cfRule>
    <cfRule type="cellIs" dxfId="125" priority="87" operator="between">
      <formula>1</formula>
      <formula>9.999</formula>
    </cfRule>
    <cfRule type="cellIs" dxfId="124" priority="94" operator="between">
      <formula>1</formula>
      <formula>10</formula>
    </cfRule>
  </conditionalFormatting>
  <conditionalFormatting sqref="F48:K48">
    <cfRule type="cellIs" dxfId="123" priority="37" operator="between">
      <formula>1</formula>
      <formula>9.999</formula>
    </cfRule>
    <cfRule type="cellIs" dxfId="122" priority="38" operator="between">
      <formula>0.1</formula>
      <formula>0.999</formula>
    </cfRule>
    <cfRule type="containsBlanks" dxfId="121" priority="39" stopIfTrue="1">
      <formula>LEN(TRIM(F48))=0</formula>
    </cfRule>
    <cfRule type="cellIs" dxfId="120" priority="40" operator="greaterThanOrEqual">
      <formula>0.0001</formula>
    </cfRule>
  </conditionalFormatting>
  <conditionalFormatting sqref="F41:L42">
    <cfRule type="cellIs" dxfId="119" priority="77" operator="lessThan">
      <formula>$E$43</formula>
    </cfRule>
    <cfRule type="cellIs" dxfId="118" priority="76" operator="greaterThanOrEqual">
      <formula>$E$41</formula>
    </cfRule>
  </conditionalFormatting>
  <conditionalFormatting sqref="F41:L44">
    <cfRule type="cellIs" dxfId="117" priority="68" operator="greaterThanOrEqual">
      <formula>10000</formula>
    </cfRule>
    <cfRule type="cellIs" dxfId="116" priority="69" operator="greaterThanOrEqual">
      <formula>10</formula>
    </cfRule>
    <cfRule type="cellIs" dxfId="115" priority="70" operator="between">
      <formula>1</formula>
      <formula>9.999</formula>
    </cfRule>
    <cfRule type="cellIs" dxfId="114" priority="71" operator="between">
      <formula>0.1</formula>
      <formula>0.999</formula>
    </cfRule>
    <cfRule type="cellIs" dxfId="113" priority="72" operator="lessThanOrEqual">
      <formula>0.1</formula>
    </cfRule>
    <cfRule type="containsBlanks" dxfId="112" priority="73" stopIfTrue="1">
      <formula>LEN(TRIM(F41))=0</formula>
    </cfRule>
  </conditionalFormatting>
  <conditionalFormatting sqref="F43:L44">
    <cfRule type="cellIs" dxfId="111" priority="74" operator="greaterThanOrEqual">
      <formula>$E$43</formula>
    </cfRule>
    <cfRule type="cellIs" dxfId="110" priority="75" operator="lessThan">
      <formula>$E$43</formula>
    </cfRule>
  </conditionalFormatting>
  <conditionalFormatting sqref="F47:L47">
    <cfRule type="cellIs" dxfId="109" priority="84" operator="greaterThanOrEqual">
      <formula>0.0001</formula>
    </cfRule>
    <cfRule type="containsBlanks" dxfId="108" priority="83" stopIfTrue="1">
      <formula>LEN(TRIM(F47))=0</formula>
    </cfRule>
    <cfRule type="cellIs" dxfId="107" priority="81" operator="between">
      <formula>0.1</formula>
      <formula>0.999</formula>
    </cfRule>
    <cfRule type="cellIs" dxfId="106" priority="80" operator="between">
      <formula>1</formula>
      <formula>9.999</formula>
    </cfRule>
  </conditionalFormatting>
  <conditionalFormatting sqref="F47:L48">
    <cfRule type="cellIs" dxfId="105" priority="79" operator="greaterThanOrEqual">
      <formula>10</formula>
    </cfRule>
    <cfRule type="cellIs" dxfId="104" priority="78" operator="greaterThanOrEqual">
      <formula>10000</formula>
    </cfRule>
  </conditionalFormatting>
  <conditionalFormatting sqref="F48:L48">
    <cfRule type="cellIs" dxfId="103" priority="82" operator="lessThanOrEqual">
      <formula>0.1</formula>
    </cfRule>
  </conditionalFormatting>
  <conditionalFormatting sqref="G18:L19 G24:L25">
    <cfRule type="cellIs" dxfId="102" priority="116" operator="lessThanOrEqual">
      <formula>0.1</formula>
    </cfRule>
    <cfRule type="cellIs" dxfId="101" priority="115" operator="between">
      <formula>0.1</formula>
      <formula>0.999</formula>
    </cfRule>
    <cfRule type="cellIs" dxfId="100" priority="114" operator="between">
      <formula>1</formula>
      <formula>9.999</formula>
    </cfRule>
    <cfRule type="cellIs" dxfId="99" priority="113" operator="greaterThanOrEqual">
      <formula>10</formula>
    </cfRule>
    <cfRule type="cellIs" dxfId="98" priority="118" operator="lessThan">
      <formula>$F18</formula>
    </cfRule>
    <cfRule type="cellIs" dxfId="97" priority="112" operator="greaterThanOrEqual">
      <formula>10000</formula>
    </cfRule>
    <cfRule type="containsBlanks" dxfId="96" priority="117" stopIfTrue="1">
      <formula>LEN(TRIM(G18))=0</formula>
    </cfRule>
  </conditionalFormatting>
  <conditionalFormatting sqref="G30:L31 R34:R35">
    <cfRule type="cellIs" dxfId="95" priority="111" operator="greaterThan">
      <formula>0.0001</formula>
    </cfRule>
  </conditionalFormatting>
  <conditionalFormatting sqref="G30:L31">
    <cfRule type="cellIs" dxfId="94" priority="108" operator="lessThanOrEqual">
      <formula>0.1</formula>
    </cfRule>
    <cfRule type="cellIs" dxfId="93" priority="104" operator="greaterThanOrEqual">
      <formula>10000</formula>
    </cfRule>
    <cfRule type="cellIs" dxfId="92" priority="105" operator="greaterThanOrEqual">
      <formula>10</formula>
    </cfRule>
    <cfRule type="cellIs" dxfId="91" priority="106" operator="between">
      <formula>1</formula>
      <formula>9.999</formula>
    </cfRule>
    <cfRule type="cellIs" dxfId="90" priority="107" operator="between">
      <formula>0.1</formula>
      <formula>0.999</formula>
    </cfRule>
    <cfRule type="containsBlanks" dxfId="89" priority="109" stopIfTrue="1">
      <formula>LEN(TRIM(G30))=0</formula>
    </cfRule>
    <cfRule type="cellIs" dxfId="88" priority="110" operator="equal">
      <formula>0</formula>
    </cfRule>
  </conditionalFormatting>
  <conditionalFormatting sqref="P10:S17">
    <cfRule type="cellIs" dxfId="87" priority="12" operator="greaterThan">
      <formula>10000</formula>
    </cfRule>
    <cfRule type="cellIs" dxfId="86" priority="10" operator="between">
      <formula>1</formula>
      <formula>10</formula>
    </cfRule>
    <cfRule type="cellIs" dxfId="85" priority="9" operator="between">
      <formula>0.1</formula>
      <formula>0.999</formula>
    </cfRule>
    <cfRule type="cellIs" dxfId="84" priority="8" operator="lessThan">
      <formula>0.1</formula>
    </cfRule>
    <cfRule type="cellIs" dxfId="83" priority="11" operator="greaterThan">
      <formula>10</formula>
    </cfRule>
    <cfRule type="cellIs" dxfId="82" priority="7" operator="equal">
      <formula>0</formula>
    </cfRule>
    <cfRule type="containsBlanks" dxfId="81" priority="6" stopIfTrue="1">
      <formula>LEN(TRIM(P10))=0</formula>
    </cfRule>
    <cfRule type="cellIs" dxfId="80" priority="5" operator="lessThanOrEqual">
      <formula>0.1</formula>
    </cfRule>
    <cfRule type="cellIs" dxfId="79" priority="4" operator="between">
      <formula>0.1</formula>
      <formula>0.999</formula>
    </cfRule>
    <cfRule type="cellIs" dxfId="78" priority="3" operator="between">
      <formula>1</formula>
      <formula>9.999</formula>
    </cfRule>
    <cfRule type="cellIs" dxfId="77" priority="2" operator="greaterThanOrEqual">
      <formula>10</formula>
    </cfRule>
    <cfRule type="cellIs" dxfId="76" priority="1" operator="greaterThanOrEqual">
      <formula>10000</formula>
    </cfRule>
  </conditionalFormatting>
  <conditionalFormatting sqref="Q41:T42">
    <cfRule type="cellIs" dxfId="75" priority="55" operator="lessThan">
      <formula>$P$41</formula>
    </cfRule>
    <cfRule type="cellIs" dxfId="74" priority="54" operator="greaterThanOrEqual">
      <formula>$P$41</formula>
    </cfRule>
  </conditionalFormatting>
  <conditionalFormatting sqref="Q41:T44">
    <cfRule type="cellIs" dxfId="73" priority="46" operator="lessThanOrEqual">
      <formula>0.1</formula>
    </cfRule>
    <cfRule type="cellIs" dxfId="72" priority="45" operator="greaterThanOrEqual">
      <formula>10</formula>
    </cfRule>
    <cfRule type="cellIs" dxfId="71" priority="44" operator="greaterThanOrEqual">
      <formula>10000</formula>
    </cfRule>
    <cfRule type="containsBlanks" dxfId="70" priority="43" stopIfTrue="1">
      <formula>LEN(TRIM(Q41))=0</formula>
    </cfRule>
    <cfRule type="cellIs" dxfId="69" priority="42" operator="between">
      <formula>0.1</formula>
      <formula>0.999</formula>
    </cfRule>
    <cfRule type="cellIs" dxfId="68" priority="41" operator="between">
      <formula>1</formula>
      <formula>9.999</formula>
    </cfRule>
  </conditionalFormatting>
  <conditionalFormatting sqref="Q43:T44">
    <cfRule type="cellIs" dxfId="67" priority="48" operator="lessThan">
      <formula>$P$43</formula>
    </cfRule>
    <cfRule type="cellIs" dxfId="66" priority="47" operator="greaterThanOrEqual">
      <formula>$P$43</formula>
    </cfRule>
  </conditionalFormatting>
  <conditionalFormatting sqref="Q47:T48">
    <cfRule type="cellIs" dxfId="65" priority="49" operator="greaterThan">
      <formula>100</formula>
    </cfRule>
    <cfRule type="cellIs" dxfId="64" priority="53" operator="greaterThanOrEqual">
      <formula>0.0001</formula>
    </cfRule>
    <cfRule type="containsBlanks" dxfId="63" priority="52" stopIfTrue="1">
      <formula>LEN(TRIM(Q47))=0</formula>
    </cfRule>
    <cfRule type="cellIs" dxfId="62" priority="51" operator="lessThanOrEqual">
      <formula>0.1</formula>
    </cfRule>
    <cfRule type="cellIs" dxfId="61" priority="50" operator="between">
      <formula>1</formula>
      <formula>100</formula>
    </cfRule>
  </conditionalFormatting>
  <conditionalFormatting sqref="R22:R23 R28:R29">
    <cfRule type="cellIs" dxfId="60" priority="100" operator="between">
      <formula>0.1</formula>
      <formula>0.999</formula>
    </cfRule>
    <cfRule type="cellIs" dxfId="59" priority="101" operator="lessThanOrEqual">
      <formula>0.1</formula>
    </cfRule>
    <cfRule type="containsBlanks" dxfId="58" priority="102" stopIfTrue="1">
      <formula>LEN(TRIM(R22))=0</formula>
    </cfRule>
    <cfRule type="cellIs" dxfId="57" priority="103" operator="lessThan">
      <formula>$Q22</formula>
    </cfRule>
    <cfRule type="cellIs" dxfId="56" priority="97" operator="greaterThanOrEqual">
      <formula>10000</formula>
    </cfRule>
    <cfRule type="cellIs" dxfId="55" priority="99" operator="between">
      <formula>1</formula>
      <formula>9.999</formula>
    </cfRule>
    <cfRule type="cellIs" dxfId="54" priority="98" operator="greaterThanOrEqual">
      <formula>10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4198-7498-4379-AB1E-85E8B930AA09}">
  <sheetPr codeName="Sheet24">
    <tabColor theme="9"/>
  </sheetPr>
  <dimension ref="A1:AF81"/>
  <sheetViews>
    <sheetView topLeftCell="A58" workbookViewId="0">
      <selection activeCell="P7" sqref="P7"/>
    </sheetView>
  </sheetViews>
  <sheetFormatPr defaultColWidth="9.140625" defaultRowHeight="12.75" x14ac:dyDescent="0.2"/>
  <cols>
    <col min="1" max="1" width="48.42578125" style="5" customWidth="1"/>
    <col min="2" max="2" width="14.140625" style="4" customWidth="1"/>
    <col min="3" max="3" width="18.140625" style="4" customWidth="1"/>
    <col min="4" max="4" width="14.5703125" style="4" customWidth="1"/>
    <col min="5" max="5" width="12.85546875" style="5" customWidth="1"/>
    <col min="6" max="6" width="13.5703125" style="5" bestFit="1" customWidth="1"/>
    <col min="7" max="8" width="13.5703125" style="5" customWidth="1"/>
    <col min="9" max="9" width="13.28515625" style="5" bestFit="1" customWidth="1"/>
    <col min="10" max="10" width="14.140625" style="5" bestFit="1" customWidth="1"/>
    <col min="11" max="14" width="14.140625" style="5" customWidth="1"/>
    <col min="15" max="15" width="13.28515625" style="5" bestFit="1" customWidth="1"/>
    <col min="16" max="16" width="14.140625" style="5" bestFit="1" customWidth="1"/>
    <col min="17" max="17" width="13.28515625" style="5" customWidth="1"/>
    <col min="18" max="18" width="14.140625" style="5" customWidth="1"/>
    <col min="19" max="19" width="18.42578125" style="4" bestFit="1" customWidth="1"/>
    <col min="20" max="20" width="78.7109375" style="5" customWidth="1"/>
    <col min="21" max="21" width="21" style="5" customWidth="1"/>
    <col min="22" max="22" width="27.28515625" style="5" bestFit="1" customWidth="1"/>
    <col min="23" max="23" width="16.5703125" style="5" customWidth="1"/>
    <col min="24" max="24" width="56.140625" style="5" customWidth="1"/>
    <col min="25" max="25" width="19.28515625" style="5" customWidth="1"/>
    <col min="26" max="26" width="10" style="5" bestFit="1" customWidth="1"/>
    <col min="27" max="27" width="19.42578125" style="5" customWidth="1"/>
    <col min="28" max="28" width="17.42578125" style="5" customWidth="1"/>
    <col min="29" max="29" width="9.140625" style="5"/>
    <col min="30" max="30" width="72.5703125" style="5" customWidth="1"/>
    <col min="31" max="31" width="23.7109375" style="5" customWidth="1"/>
    <col min="32" max="34" width="9.140625" style="5"/>
    <col min="35" max="35" width="52.42578125" style="5" bestFit="1" customWidth="1"/>
    <col min="36" max="36" width="10.7109375" style="5" customWidth="1"/>
    <col min="37" max="42" width="9.140625" style="5"/>
    <col min="43" max="43" width="72.7109375" style="5" bestFit="1" customWidth="1"/>
    <col min="44" max="44" width="14.28515625" style="5" bestFit="1" customWidth="1"/>
    <col min="45" max="16384" width="9.140625" style="5"/>
  </cols>
  <sheetData>
    <row r="1" spans="1:32" ht="15.75" x14ac:dyDescent="0.25">
      <c r="A1" s="278" t="s">
        <v>467</v>
      </c>
      <c r="B1" s="279"/>
      <c r="C1" s="279"/>
      <c r="D1" s="279"/>
      <c r="E1" s="280"/>
      <c r="F1" s="280"/>
      <c r="G1" s="280"/>
      <c r="H1" s="280"/>
      <c r="I1" s="280"/>
      <c r="J1" s="280"/>
      <c r="K1" s="280"/>
      <c r="L1" s="280"/>
      <c r="M1" s="280"/>
      <c r="N1" s="280"/>
      <c r="O1" s="280"/>
      <c r="P1" s="280"/>
      <c r="Q1" s="280"/>
      <c r="R1" s="280"/>
      <c r="S1" s="279"/>
      <c r="T1" s="280"/>
    </row>
    <row r="3" spans="1:32" ht="13.5" thickBot="1" x14ac:dyDescent="0.25">
      <c r="A3" s="3" t="s">
        <v>203</v>
      </c>
    </row>
    <row r="4" spans="1:32" ht="27.95" customHeight="1" x14ac:dyDescent="0.2">
      <c r="A4" s="618" t="s">
        <v>22</v>
      </c>
      <c r="B4" s="618" t="s">
        <v>204</v>
      </c>
      <c r="C4" s="618" t="s">
        <v>488</v>
      </c>
      <c r="D4" s="621" t="s">
        <v>205</v>
      </c>
      <c r="E4" s="624" t="s">
        <v>85</v>
      </c>
      <c r="F4" s="6"/>
      <c r="G4" s="638" t="s">
        <v>206</v>
      </c>
      <c r="H4" s="639"/>
      <c r="I4" s="632" t="s">
        <v>207</v>
      </c>
      <c r="J4" s="633"/>
      <c r="K4" s="632" t="s">
        <v>208</v>
      </c>
      <c r="L4" s="633"/>
      <c r="M4" s="632" t="s">
        <v>88</v>
      </c>
      <c r="N4" s="633"/>
      <c r="O4" s="632" t="s">
        <v>89</v>
      </c>
      <c r="P4" s="633"/>
      <c r="Q4" s="632" t="s">
        <v>90</v>
      </c>
      <c r="R4" s="633"/>
      <c r="S4" s="7"/>
      <c r="T4" s="8"/>
      <c r="U4" s="3"/>
    </row>
    <row r="5" spans="1:32" x14ac:dyDescent="0.2">
      <c r="A5" s="619"/>
      <c r="B5" s="619"/>
      <c r="C5" s="619"/>
      <c r="D5" s="622"/>
      <c r="E5" s="625"/>
      <c r="F5" s="9"/>
      <c r="G5" s="634" t="s">
        <v>209</v>
      </c>
      <c r="H5" s="635"/>
      <c r="I5" s="636" t="s">
        <v>210</v>
      </c>
      <c r="J5" s="637"/>
      <c r="K5" s="636" t="s">
        <v>211</v>
      </c>
      <c r="L5" s="637"/>
      <c r="M5" s="636" t="s">
        <v>212</v>
      </c>
      <c r="N5" s="637"/>
      <c r="O5" s="636" t="s">
        <v>212</v>
      </c>
      <c r="P5" s="637"/>
      <c r="Q5" s="636" t="s">
        <v>213</v>
      </c>
      <c r="R5" s="637"/>
      <c r="S5" s="10"/>
      <c r="T5" s="11"/>
      <c r="V5" s="12"/>
      <c r="W5" s="12"/>
      <c r="X5" s="12"/>
      <c r="Y5" s="12"/>
      <c r="Z5" s="13"/>
      <c r="AA5" s="14"/>
      <c r="AC5" s="14"/>
      <c r="AD5" s="433"/>
      <c r="AE5" s="433"/>
      <c r="AF5" s="434"/>
    </row>
    <row r="6" spans="1:32" ht="26.25" thickBot="1" x14ac:dyDescent="0.25">
      <c r="A6" s="620"/>
      <c r="B6" s="620"/>
      <c r="C6" s="620"/>
      <c r="D6" s="623"/>
      <c r="E6" s="626"/>
      <c r="F6" s="456" t="s">
        <v>214</v>
      </c>
      <c r="G6" s="16" t="s">
        <v>103</v>
      </c>
      <c r="H6" s="17" t="s">
        <v>27</v>
      </c>
      <c r="I6" s="457" t="s">
        <v>103</v>
      </c>
      <c r="J6" s="17" t="s">
        <v>27</v>
      </c>
      <c r="K6" s="457" t="s">
        <v>103</v>
      </c>
      <c r="L6" s="458" t="s">
        <v>27</v>
      </c>
      <c r="M6" s="16" t="s">
        <v>103</v>
      </c>
      <c r="N6" s="458" t="s">
        <v>27</v>
      </c>
      <c r="O6" s="457" t="s">
        <v>103</v>
      </c>
      <c r="P6" s="458" t="s">
        <v>27</v>
      </c>
      <c r="Q6" s="457" t="s">
        <v>103</v>
      </c>
      <c r="R6" s="458" t="s">
        <v>27</v>
      </c>
      <c r="S6" s="459" t="s">
        <v>215</v>
      </c>
      <c r="T6" s="459" t="s">
        <v>216</v>
      </c>
      <c r="V6" s="12"/>
      <c r="W6" s="12"/>
      <c r="X6" s="12"/>
      <c r="Y6" s="12"/>
      <c r="Z6" s="13"/>
      <c r="AA6" s="12"/>
      <c r="AC6" s="12"/>
      <c r="AD6" s="433"/>
      <c r="AE6" s="433"/>
      <c r="AF6" s="434"/>
    </row>
    <row r="7" spans="1:32" x14ac:dyDescent="0.2">
      <c r="A7" s="460" t="s">
        <v>0</v>
      </c>
      <c r="B7" s="435" t="s">
        <v>7</v>
      </c>
      <c r="C7" s="435" t="s">
        <v>7</v>
      </c>
      <c r="D7" s="436">
        <v>78.900000000000006</v>
      </c>
      <c r="E7" s="627" t="s">
        <v>30</v>
      </c>
      <c r="F7" s="611" t="s">
        <v>217</v>
      </c>
      <c r="G7" s="470">
        <v>250</v>
      </c>
      <c r="H7" s="471">
        <v>250</v>
      </c>
      <c r="I7" s="24">
        <f>'Mfg_1,2-DCA Test Order Data'!L4/1000</f>
        <v>7.3</v>
      </c>
      <c r="J7" s="92">
        <f>'Mfg_1,2-DCA Test Order Data'!K4/1000</f>
        <v>0.48</v>
      </c>
      <c r="K7" s="24">
        <f t="shared" ref="K7:L7" si="0">IF(I7&lt;&gt;"-", I7*ED_8/AT*Breathing_Ratio,"-")</f>
        <v>4.9659863945578229</v>
      </c>
      <c r="L7" s="461">
        <f t="shared" si="0"/>
        <v>0.32653061224489799</v>
      </c>
      <c r="M7" s="462">
        <f>IF(I7&lt;&gt;"-", IF(G7&gt;=EF_ST, I7*ED_8*EF_ST/AT_ADC_ST*Breathing_Ratio, I7*ED_8*G7/AT_ADC_ST*Breathing_Ratio),"-")</f>
        <v>3.64172335600907</v>
      </c>
      <c r="N7" s="461">
        <f t="shared" ref="N7" si="1">IF(J7&lt;&gt;"-", IF(H7&gt;=EF_ST, J7*ED_8*EF_ST/AT_ADC_ST*Breathing_Ratio, J7*ED_8*H7/AT_ADC_ST*Breathing_Ratio),"-")</f>
        <v>0.23945578231292514</v>
      </c>
      <c r="O7" s="24">
        <f t="shared" ref="O7" si="2">IF(I7&lt;&gt;"-", I7*ED_8*G7*WY_high/AT_ADC_high*Breathing_Ratio,"-")</f>
        <v>3.4013605442176873</v>
      </c>
      <c r="P7" s="461">
        <f t="shared" ref="P7" si="3">IF(J7&lt;&gt;"-", J7*ED_8*H7*WY_mid/AT_ADC_mid*Breathing_Ratio, "-")</f>
        <v>0.22365110427732737</v>
      </c>
      <c r="Q7" s="24">
        <f t="shared" ref="Q7" si="4">IF(I7&lt;&gt;"-",I7*ED_8*G7*WY_high/AT_LADC*Breathing_Ratio,"-")</f>
        <v>1.7442874585731729</v>
      </c>
      <c r="R7" s="461">
        <f t="shared" ref="R7" si="5">IF(J7&lt;&gt;"-",J7*ED_8*H7*WY_mid/AT_LADC*Breathing_Ratio,"-")</f>
        <v>8.888697734098909E-2</v>
      </c>
      <c r="S7" s="447">
        <v>53</v>
      </c>
      <c r="T7" s="451" t="s">
        <v>490</v>
      </c>
      <c r="V7" s="12"/>
      <c r="W7" s="12"/>
      <c r="X7" s="12"/>
      <c r="Y7" s="12"/>
      <c r="Z7" s="13"/>
      <c r="AA7" s="29"/>
      <c r="AC7" s="12"/>
      <c r="AD7" s="433"/>
      <c r="AE7" s="433"/>
      <c r="AF7" s="434"/>
    </row>
    <row r="8" spans="1:32" x14ac:dyDescent="0.2">
      <c r="A8" s="30" t="s">
        <v>468</v>
      </c>
      <c r="B8" s="22" t="s">
        <v>7</v>
      </c>
      <c r="C8" s="22" t="s">
        <v>7</v>
      </c>
      <c r="D8" s="438">
        <v>228</v>
      </c>
      <c r="E8" s="628"/>
      <c r="F8" s="612"/>
      <c r="G8" s="472">
        <v>250</v>
      </c>
      <c r="H8" s="473">
        <v>250</v>
      </c>
      <c r="I8" s="27">
        <v>9.0095833333333295E-3</v>
      </c>
      <c r="J8" s="187">
        <v>1.55833333333333E-3</v>
      </c>
      <c r="K8" s="27">
        <f t="shared" ref="K8:K14" si="6">IF(I8&lt;&gt;"-", I8*ED_8/AT*Breathing_Ratio,"-")</f>
        <v>6.1289682539682521E-3</v>
      </c>
      <c r="L8" s="26">
        <f t="shared" ref="L8:L14" si="7">IF(J8&lt;&gt;"-", J8*ED_8/AT*Breathing_Ratio,"-")</f>
        <v>1.0600907029478437E-3</v>
      </c>
      <c r="M8" s="25">
        <f t="shared" ref="M8:M14" si="8">IF(I8&lt;&gt;"-", IF(G8&gt;=EF_ST, I8*ED_8*EF_ST/AT_ADC_ST*Breathing_Ratio, I8*ED_8*G8/AT_ADC_ST*Breathing_Ratio),"-")</f>
        <v>4.4945767195767178E-3</v>
      </c>
      <c r="N8" s="26">
        <f t="shared" ref="N8:N14" si="9">IF(J8&lt;&gt;"-", IF(H8&gt;=EF_ST, J8*ED_8*EF_ST/AT_ADC_ST*Breathing_Ratio, J8*ED_8*H8/AT_ADC_ST*Breathing_Ratio),"-")</f>
        <v>7.7739984882841859E-4</v>
      </c>
      <c r="O8" s="27">
        <f t="shared" ref="O8:O14" si="10">IF(I8&lt;&gt;"-", I8*ED_8*G8*WY_high/AT_ADC_high*Breathing_Ratio,"-")</f>
        <v>4.1979234616220905E-3</v>
      </c>
      <c r="P8" s="26">
        <f t="shared" ref="P8:P14" si="11">IF(J8&lt;&gt;"-", J8*ED_8*H8*WY_mid/AT_ADC_mid*Breathing_Ratio, "-")</f>
        <v>7.260895225670161E-4</v>
      </c>
      <c r="Q8" s="27">
        <f t="shared" ref="Q8:Q14" si="12">IF(I8&lt;&gt;"-",I8*ED_8*G8*WY_high/AT_LADC*Breathing_Ratio,"-")</f>
        <v>2.1527812623703029E-3</v>
      </c>
      <c r="R8" s="26">
        <f t="shared" ref="R8:R14" si="13">IF(J8&lt;&gt;"-",J8*ED_8*H8*WY_mid/AT_LADC*Breathing_Ratio,"-")</f>
        <v>2.8857404102022437E-4</v>
      </c>
      <c r="S8" s="448">
        <v>31</v>
      </c>
      <c r="T8" s="452" t="s">
        <v>491</v>
      </c>
      <c r="U8" s="35"/>
      <c r="V8" s="36"/>
      <c r="W8" s="36"/>
      <c r="X8" s="36"/>
      <c r="Y8" s="37"/>
      <c r="Z8" s="38"/>
      <c r="AA8" s="39"/>
      <c r="AC8" s="39"/>
      <c r="AD8" s="38"/>
      <c r="AE8" s="410"/>
      <c r="AF8" s="38"/>
    </row>
    <row r="9" spans="1:32" x14ac:dyDescent="0.2">
      <c r="A9" s="30" t="s">
        <v>469</v>
      </c>
      <c r="B9" s="288" t="s">
        <v>7</v>
      </c>
      <c r="C9" s="288" t="s">
        <v>7</v>
      </c>
      <c r="D9" s="438">
        <v>228</v>
      </c>
      <c r="E9" s="628"/>
      <c r="F9" s="612"/>
      <c r="G9" s="476">
        <v>250</v>
      </c>
      <c r="H9" s="473">
        <v>250</v>
      </c>
      <c r="I9" s="33">
        <v>2.7000000000000001E-3</v>
      </c>
      <c r="J9" s="93">
        <v>2.3000000000000001E-4</v>
      </c>
      <c r="K9" s="27">
        <f t="shared" ref="K9:K10" si="14">IF(I9&lt;&gt;"-", I9*ED_8/AT*Breathing_Ratio,"-")</f>
        <v>1.8367346938775511E-3</v>
      </c>
      <c r="L9" s="26">
        <f t="shared" ref="L9:L11" si="15">IF(J9&lt;&gt;"-", J9*ED_8/AT*Breathing_Ratio,"-")</f>
        <v>1.5646258503401362E-4</v>
      </c>
      <c r="M9" s="25">
        <f t="shared" ref="M9:M11" si="16">IF(I9&lt;&gt;"-", IF(G9&gt;=EF_ST, I9*ED_8*EF_ST/AT_ADC_ST*Breathing_Ratio, I9*ED_8*G9/AT_ADC_ST*Breathing_Ratio),"-")</f>
        <v>1.346938775510204E-3</v>
      </c>
      <c r="N9" s="26">
        <f t="shared" ref="N9:N11" si="17">IF(J9&lt;&gt;"-", IF(H9&gt;=EF_ST, J9*ED_8*EF_ST/AT_ADC_ST*Breathing_Ratio, J9*ED_8*H9/AT_ADC_ST*Breathing_Ratio),"-")</f>
        <v>1.1473922902494331E-4</v>
      </c>
      <c r="O9" s="27">
        <f t="shared" ref="O9:O11" si="18">IF(I9&lt;&gt;"-", I9*ED_8*G9*WY_high/AT_ADC_high*Breathing_Ratio,"-")</f>
        <v>1.2580374615599665E-3</v>
      </c>
      <c r="P9" s="26">
        <f t="shared" ref="P9:P11" si="19">IF(J9&lt;&gt;"-", J9*ED_8*H9*WY_mid/AT_ADC_mid*Breathing_Ratio, "-")</f>
        <v>1.0716615413288603E-4</v>
      </c>
      <c r="Q9" s="27">
        <f t="shared" ref="Q9:Q11" si="20">IF(I9&lt;&gt;"-",I9*ED_8*G9*WY_high/AT_LADC*Breathing_Ratio,"-")</f>
        <v>6.4514741618459817E-4</v>
      </c>
      <c r="R9" s="26">
        <f t="shared" ref="R9:R11" si="21">IF(J9&lt;&gt;"-",J9*ED_8*H9*WY_mid/AT_LADC*Breathing_Ratio,"-")</f>
        <v>4.2591676642557271E-5</v>
      </c>
      <c r="S9" s="448">
        <v>17</v>
      </c>
      <c r="T9" s="452" t="s">
        <v>491</v>
      </c>
      <c r="U9" s="35"/>
      <c r="V9" s="36"/>
      <c r="W9" s="36"/>
      <c r="X9" s="36"/>
      <c r="Y9" s="37"/>
      <c r="Z9" s="38"/>
      <c r="AA9" s="39"/>
      <c r="AC9" s="39"/>
      <c r="AD9" s="38"/>
      <c r="AE9" s="410"/>
      <c r="AF9" s="38"/>
    </row>
    <row r="10" spans="1:32" x14ac:dyDescent="0.2">
      <c r="A10" s="30" t="s">
        <v>470</v>
      </c>
      <c r="B10" s="288" t="s">
        <v>7</v>
      </c>
      <c r="C10" s="288" t="s">
        <v>7</v>
      </c>
      <c r="D10" s="438">
        <v>228</v>
      </c>
      <c r="E10" s="628"/>
      <c r="F10" s="612"/>
      <c r="G10" s="476">
        <v>250</v>
      </c>
      <c r="H10" s="473">
        <v>250</v>
      </c>
      <c r="I10" s="33">
        <v>1.6000000000000001E-3</v>
      </c>
      <c r="J10" s="93">
        <v>6.7000000000000002E-5</v>
      </c>
      <c r="K10" s="27">
        <f t="shared" si="14"/>
        <v>1.0884353741496598E-3</v>
      </c>
      <c r="L10" s="26">
        <f t="shared" si="15"/>
        <v>4.5578231292517009E-5</v>
      </c>
      <c r="M10" s="25">
        <f t="shared" si="16"/>
        <v>7.9818594104308393E-4</v>
      </c>
      <c r="N10" s="26">
        <f t="shared" si="17"/>
        <v>3.3424036281179142E-5</v>
      </c>
      <c r="O10" s="27">
        <f t="shared" si="18"/>
        <v>7.455036809244246E-4</v>
      </c>
      <c r="P10" s="26">
        <f t="shared" si="19"/>
        <v>3.1217966638710281E-5</v>
      </c>
      <c r="Q10" s="27">
        <f t="shared" si="20"/>
        <v>3.8230957996124337E-4</v>
      </c>
      <c r="R10" s="26">
        <f t="shared" si="21"/>
        <v>1.2407140587179725E-5</v>
      </c>
      <c r="S10" s="448">
        <v>7</v>
      </c>
      <c r="T10" s="452" t="s">
        <v>491</v>
      </c>
      <c r="U10" s="35"/>
      <c r="V10" s="36"/>
      <c r="W10" s="36"/>
      <c r="X10" s="36"/>
      <c r="Y10" s="37"/>
      <c r="Z10" s="38"/>
      <c r="AA10" s="39"/>
      <c r="AC10" s="39"/>
      <c r="AD10" s="38"/>
      <c r="AE10" s="410"/>
      <c r="AF10" s="38"/>
    </row>
    <row r="11" spans="1:32" x14ac:dyDescent="0.2">
      <c r="A11" s="30" t="s">
        <v>471</v>
      </c>
      <c r="B11" s="288" t="s">
        <v>7</v>
      </c>
      <c r="C11" s="288" t="s">
        <v>7</v>
      </c>
      <c r="D11" s="438">
        <v>228</v>
      </c>
      <c r="E11" s="628"/>
      <c r="F11" s="612"/>
      <c r="G11" s="476">
        <v>250</v>
      </c>
      <c r="H11" s="473">
        <v>250</v>
      </c>
      <c r="I11" s="33">
        <v>3.3E-3</v>
      </c>
      <c r="J11" s="93">
        <v>1.6000000000000001E-4</v>
      </c>
      <c r="K11" s="27">
        <f>IF(I11&lt;&gt;"-", I11*ED_8/AT*Breathing_Ratio,"-")</f>
        <v>2.2448979591836735E-3</v>
      </c>
      <c r="L11" s="26">
        <f t="shared" si="15"/>
        <v>1.08843537414966E-4</v>
      </c>
      <c r="M11" s="25">
        <f t="shared" si="16"/>
        <v>1.6462585034013606E-3</v>
      </c>
      <c r="N11" s="26">
        <f t="shared" si="17"/>
        <v>7.9818594104308393E-5</v>
      </c>
      <c r="O11" s="27">
        <f t="shared" si="18"/>
        <v>1.5376013419066258E-3</v>
      </c>
      <c r="P11" s="26">
        <f t="shared" si="19"/>
        <v>7.4550368092442455E-5</v>
      </c>
      <c r="Q11" s="27">
        <f t="shared" si="20"/>
        <v>7.8851350867006453E-4</v>
      </c>
      <c r="R11" s="26">
        <f t="shared" si="21"/>
        <v>2.9628992446996361E-5</v>
      </c>
      <c r="S11" s="448">
        <v>17</v>
      </c>
      <c r="T11" s="452" t="s">
        <v>491</v>
      </c>
      <c r="U11" s="35"/>
      <c r="V11" s="36"/>
      <c r="W11" s="36"/>
      <c r="X11" s="36"/>
      <c r="Y11" s="37"/>
      <c r="Z11" s="38"/>
      <c r="AA11" s="39"/>
      <c r="AC11" s="39"/>
      <c r="AD11" s="38"/>
      <c r="AE11" s="410"/>
      <c r="AF11" s="38"/>
    </row>
    <row r="12" spans="1:32" x14ac:dyDescent="0.2">
      <c r="A12" s="30" t="s">
        <v>1</v>
      </c>
      <c r="B12" s="41">
        <f>INDEX('Byproduct Conc_Inhalation'!$I$4:$I$9, MATCH('Inhalation Exposures'!A12,'Byproduct Conc_Inhalation'!$C$4:$C$9, 0))</f>
        <v>2.925931899062607E-3</v>
      </c>
      <c r="C12" s="31">
        <f>INDEX('Byproduct Conc_Inhalation'!$J$4:$J$9, MATCH('Inhalation Exposures'!A12,'Byproduct Conc_Inhalation'!$C$4:$C$9, 0))</f>
        <v>0.99481684568128637</v>
      </c>
      <c r="D12" s="438">
        <v>228</v>
      </c>
      <c r="E12" s="628"/>
      <c r="F12" s="612"/>
      <c r="G12" s="472">
        <v>250</v>
      </c>
      <c r="H12" s="473">
        <v>250</v>
      </c>
      <c r="I12" s="33">
        <f>I$7*($D12*$B12)/($D$7*$C12)</f>
        <v>6.204428539476628E-2</v>
      </c>
      <c r="J12" s="93">
        <f>J$7*($D12*$B12)/($D$7*$C12)</f>
        <v>4.0796242451353161E-3</v>
      </c>
      <c r="K12" s="27">
        <f t="shared" si="6"/>
        <v>4.2206996867187943E-2</v>
      </c>
      <c r="L12" s="26">
        <f t="shared" si="7"/>
        <v>2.775254588527426E-3</v>
      </c>
      <c r="M12" s="25">
        <f t="shared" si="8"/>
        <v>3.0951797702604495E-2</v>
      </c>
      <c r="N12" s="26">
        <f t="shared" si="9"/>
        <v>2.0351866982534455E-3</v>
      </c>
      <c r="O12" s="27">
        <f t="shared" si="10"/>
        <v>2.8908901963827362E-2</v>
      </c>
      <c r="P12" s="26">
        <f t="shared" si="11"/>
        <v>1.9008593072105658E-3</v>
      </c>
      <c r="Q12" s="27">
        <f>IF(I12&lt;&gt;"-",I12*ED_8*G12*WY_high/AT_LADC*Breathing_Ratio,"-")</f>
        <v>1.4825077930167877E-2</v>
      </c>
      <c r="R12" s="26">
        <f t="shared" si="13"/>
        <v>7.5546972466060945E-4</v>
      </c>
      <c r="S12" s="448"/>
      <c r="T12" s="453" t="s">
        <v>492</v>
      </c>
      <c r="U12" s="35"/>
      <c r="V12" s="36"/>
      <c r="W12" s="36"/>
      <c r="X12" s="36"/>
      <c r="Y12" s="37"/>
      <c r="Z12" s="38"/>
      <c r="AA12" s="39"/>
      <c r="AC12" s="39"/>
      <c r="AD12" s="38"/>
      <c r="AE12" s="410"/>
      <c r="AF12" s="38"/>
    </row>
    <row r="13" spans="1:32" x14ac:dyDescent="0.2">
      <c r="A13" s="30" t="s">
        <v>3</v>
      </c>
      <c r="B13" s="41">
        <f>INDEX('Byproduct Conc_Inhalation'!$I$4:$I$9, MATCH('Inhalation Exposures'!A13,'Byproduct Conc_Inhalation'!$C$4:$C$9, 0))</f>
        <v>9.0008859666249573E-5</v>
      </c>
      <c r="C13" s="31">
        <f>INDEX('Byproduct Conc_Inhalation'!$J$4:$J$9, MATCH('Inhalation Exposures'!A13,'Byproduct Conc_Inhalation'!$C$4:$C$9, 0))</f>
        <v>0.99481684568128637</v>
      </c>
      <c r="D13" s="438">
        <v>18.5</v>
      </c>
      <c r="E13" s="628"/>
      <c r="F13" s="612"/>
      <c r="G13" s="472">
        <v>250</v>
      </c>
      <c r="H13" s="473">
        <v>250</v>
      </c>
      <c r="I13" s="33">
        <f t="shared" ref="I13:J14" si="22">I$7*($D13*$B13)/($D$7*$C13)</f>
        <v>1.5486729548848559E-4</v>
      </c>
      <c r="J13" s="93">
        <f t="shared" si="22"/>
        <v>1.0183055045818231E-5</v>
      </c>
      <c r="K13" s="27">
        <f t="shared" si="6"/>
        <v>1.0535190169284734E-4</v>
      </c>
      <c r="L13" s="26">
        <f t="shared" si="7"/>
        <v>6.9272483304885924E-6</v>
      </c>
      <c r="M13" s="25">
        <f t="shared" si="8"/>
        <v>7.7258061241421383E-5</v>
      </c>
      <c r="N13" s="26">
        <f t="shared" si="9"/>
        <v>5.0799821090249678E-6</v>
      </c>
      <c r="O13" s="27">
        <f>IF(I13&lt;&gt;"-", I13*ED_8*G13*WY_high/AT_ADC_high,"-")</f>
        <v>3.5357830020202187E-5</v>
      </c>
      <c r="P13" s="26">
        <f>IF(J13&lt;&gt;"-", J13*ED_8*H13*WY_mid/AT_ADC_mid, "-")</f>
        <v>2.3248984122872671E-6</v>
      </c>
      <c r="Q13" s="27">
        <f t="shared" si="12"/>
        <v>3.7004531679960428E-5</v>
      </c>
      <c r="R13" s="26">
        <f t="shared" si="13"/>
        <v>1.8857103814993535E-6</v>
      </c>
      <c r="S13" s="450" t="s">
        <v>25</v>
      </c>
      <c r="T13" s="453" t="s">
        <v>492</v>
      </c>
      <c r="V13" s="38"/>
      <c r="W13" s="38"/>
      <c r="X13" s="38"/>
      <c r="Y13" s="37"/>
      <c r="Z13" s="38"/>
    </row>
    <row r="14" spans="1:32" ht="13.5" thickBot="1" x14ac:dyDescent="0.25">
      <c r="A14" s="42" t="s">
        <v>461</v>
      </c>
      <c r="B14" s="234">
        <f>INDEX('Byproduct Conc_Inhalation'!$I$4:$I$9, MATCH('Inhalation Exposures'!A14,'Byproduct Conc_Inhalation'!$C$4:$C$9, 0))</f>
        <v>1.1704025935670667E-3</v>
      </c>
      <c r="C14" s="43">
        <f>INDEX('Byproduct Conc_Inhalation'!$J$4:$J$9, MATCH('Inhalation Exposures'!A14,'Byproduct Conc_Inhalation'!$C$4:$C$9, 0))</f>
        <v>0.99481684568128637</v>
      </c>
      <c r="D14" s="443">
        <v>435</v>
      </c>
      <c r="E14" s="629"/>
      <c r="F14" s="613"/>
      <c r="G14" s="474">
        <v>250</v>
      </c>
      <c r="H14" s="475">
        <v>250</v>
      </c>
      <c r="I14" s="45">
        <f t="shared" si="22"/>
        <v>4.7350793209410651E-2</v>
      </c>
      <c r="J14" s="94">
        <f t="shared" si="22"/>
        <v>3.1134768137694672E-3</v>
      </c>
      <c r="K14" s="465">
        <f t="shared" si="6"/>
        <v>3.2211423951980039E-2</v>
      </c>
      <c r="L14" s="466">
        <f t="shared" si="7"/>
        <v>2.1180114379384133E-3</v>
      </c>
      <c r="M14" s="467">
        <f t="shared" si="8"/>
        <v>2.3621710898118695E-2</v>
      </c>
      <c r="N14" s="466">
        <f t="shared" si="9"/>
        <v>1.5532083878215031E-3</v>
      </c>
      <c r="O14" s="465">
        <f t="shared" si="10"/>
        <v>2.2062619145191805E-2</v>
      </c>
      <c r="P14" s="466">
        <f t="shared" si="11"/>
        <v>1.450692765711242E-3</v>
      </c>
      <c r="Q14" s="465">
        <f t="shared" si="12"/>
        <v>1.1314163664200927E-2</v>
      </c>
      <c r="R14" s="466">
        <f t="shared" si="13"/>
        <v>5.7655738124421155E-4</v>
      </c>
      <c r="S14" s="477" t="s">
        <v>25</v>
      </c>
      <c r="T14" s="478" t="s">
        <v>492</v>
      </c>
      <c r="V14" s="38"/>
      <c r="W14" s="38"/>
      <c r="X14" s="38"/>
      <c r="Y14" s="37"/>
      <c r="Z14" s="38"/>
    </row>
    <row r="16" spans="1:32" ht="13.5" thickBot="1" x14ac:dyDescent="0.25">
      <c r="A16" s="3" t="s">
        <v>218</v>
      </c>
    </row>
    <row r="17" spans="1:32" ht="12.95" customHeight="1" x14ac:dyDescent="0.2">
      <c r="A17" s="618" t="s">
        <v>22</v>
      </c>
      <c r="B17" s="618" t="s">
        <v>204</v>
      </c>
      <c r="C17" s="618" t="s">
        <v>488</v>
      </c>
      <c r="D17" s="621" t="s">
        <v>205</v>
      </c>
      <c r="E17" s="624" t="s">
        <v>85</v>
      </c>
      <c r="F17" s="6"/>
      <c r="G17" s="638" t="s">
        <v>206</v>
      </c>
      <c r="H17" s="639"/>
      <c r="I17" s="632" t="s">
        <v>207</v>
      </c>
      <c r="J17" s="633"/>
      <c r="K17" s="632" t="s">
        <v>208</v>
      </c>
      <c r="L17" s="633"/>
      <c r="M17" s="632" t="s">
        <v>88</v>
      </c>
      <c r="N17" s="633"/>
      <c r="O17" s="632" t="s">
        <v>89</v>
      </c>
      <c r="P17" s="633"/>
      <c r="Q17" s="632" t="s">
        <v>90</v>
      </c>
      <c r="R17" s="633"/>
      <c r="S17" s="7"/>
      <c r="T17" s="8"/>
      <c r="U17" s="3"/>
    </row>
    <row r="18" spans="1:32" x14ac:dyDescent="0.2">
      <c r="A18" s="619"/>
      <c r="B18" s="619"/>
      <c r="C18" s="619"/>
      <c r="D18" s="622"/>
      <c r="E18" s="625"/>
      <c r="F18" s="9"/>
      <c r="G18" s="634" t="s">
        <v>209</v>
      </c>
      <c r="H18" s="635"/>
      <c r="I18" s="636" t="s">
        <v>210</v>
      </c>
      <c r="J18" s="637"/>
      <c r="K18" s="636" t="s">
        <v>211</v>
      </c>
      <c r="L18" s="637"/>
      <c r="M18" s="636" t="s">
        <v>212</v>
      </c>
      <c r="N18" s="637"/>
      <c r="O18" s="636" t="s">
        <v>212</v>
      </c>
      <c r="P18" s="637"/>
      <c r="Q18" s="636" t="s">
        <v>213</v>
      </c>
      <c r="R18" s="637"/>
      <c r="S18" s="10"/>
      <c r="T18" s="11"/>
      <c r="V18" s="12"/>
      <c r="W18" s="12"/>
      <c r="X18" s="12"/>
      <c r="Y18" s="12"/>
      <c r="Z18" s="13"/>
      <c r="AA18" s="14"/>
      <c r="AC18" s="14"/>
      <c r="AD18" s="433"/>
      <c r="AE18" s="433"/>
      <c r="AF18" s="434"/>
    </row>
    <row r="19" spans="1:32" ht="26.25" thickBot="1" x14ac:dyDescent="0.25">
      <c r="A19" s="619"/>
      <c r="B19" s="619"/>
      <c r="C19" s="620"/>
      <c r="D19" s="622"/>
      <c r="E19" s="625"/>
      <c r="F19" s="456" t="s">
        <v>214</v>
      </c>
      <c r="G19" s="16" t="s">
        <v>103</v>
      </c>
      <c r="H19" s="17" t="s">
        <v>27</v>
      </c>
      <c r="I19" s="457" t="s">
        <v>103</v>
      </c>
      <c r="J19" s="17" t="s">
        <v>27</v>
      </c>
      <c r="K19" s="457" t="s">
        <v>103</v>
      </c>
      <c r="L19" s="458" t="s">
        <v>27</v>
      </c>
      <c r="M19" s="16" t="s">
        <v>103</v>
      </c>
      <c r="N19" s="458" t="s">
        <v>27</v>
      </c>
      <c r="O19" s="457" t="s">
        <v>103</v>
      </c>
      <c r="P19" s="458" t="s">
        <v>27</v>
      </c>
      <c r="Q19" s="457" t="s">
        <v>103</v>
      </c>
      <c r="R19" s="458" t="s">
        <v>27</v>
      </c>
      <c r="S19" s="459" t="s">
        <v>215</v>
      </c>
      <c r="T19" s="459" t="s">
        <v>216</v>
      </c>
      <c r="V19" s="12"/>
      <c r="W19" s="12"/>
      <c r="X19" s="12"/>
      <c r="Y19" s="12"/>
      <c r="Z19" s="13"/>
      <c r="AA19" s="12"/>
      <c r="AC19" s="12"/>
      <c r="AD19" s="433"/>
      <c r="AE19" s="433"/>
      <c r="AF19" s="434"/>
    </row>
    <row r="20" spans="1:32" x14ac:dyDescent="0.2">
      <c r="A20" s="460" t="s">
        <v>0</v>
      </c>
      <c r="B20" s="435" t="s">
        <v>7</v>
      </c>
      <c r="C20" s="435" t="s">
        <v>7</v>
      </c>
      <c r="D20" s="479">
        <v>78.900000000000006</v>
      </c>
      <c r="E20" s="614" t="s">
        <v>28</v>
      </c>
      <c r="F20" s="616" t="s">
        <v>217</v>
      </c>
      <c r="G20" s="470">
        <v>250</v>
      </c>
      <c r="H20" s="471">
        <v>250</v>
      </c>
      <c r="I20" s="24">
        <f>'Mfg_1,2-DCA Test Order Data'!L8/1000</f>
        <v>1.6</v>
      </c>
      <c r="J20" s="92">
        <f>'Mfg_1,2-DCA Test Order Data'!K8/1000</f>
        <v>1.4E-2</v>
      </c>
      <c r="K20" s="24">
        <f t="shared" ref="K20:L20" si="23">IF(I20&lt;&gt;"-", I20*ED_8/AT*Breathing_Ratio,"-")</f>
        <v>1.08843537414966</v>
      </c>
      <c r="L20" s="461">
        <f t="shared" si="23"/>
        <v>9.5238095238095247E-3</v>
      </c>
      <c r="M20" s="462">
        <f t="shared" ref="M20" si="24">IF(I20&lt;&gt;"-", IF(G20&gt;=EF_ST, I20*ED_8*EF_ST/AT_ADC_ST*Breathing_Ratio, I20*ED_8*G20/AT_ADC_ST*Breathing_Ratio),"-")</f>
        <v>0.79818594104308394</v>
      </c>
      <c r="N20" s="461">
        <f t="shared" ref="N20" si="25">IF(J20&lt;&gt;"-", IF(H20&gt;=EF_ST, J20*ED_8*EF_ST/AT_ADC_ST*Breathing_Ratio, J20*ED_8*H20/AT_ADC_ST*Breathing_Ratio),"-")</f>
        <v>6.9841269841269841E-3</v>
      </c>
      <c r="O20" s="24">
        <f t="shared" ref="O20" si="26">IF(I20&lt;&gt;"-", I20*ED_8*G20*WY_high/AT_ADC_high*Breathing_Ratio,"-")</f>
        <v>0.74550368092442454</v>
      </c>
      <c r="P20" s="461">
        <f t="shared" ref="P20" si="27">IF(J20&lt;&gt;"-", J20*ED_8*H20*WY_mid/AT_ADC_mid*Breathing_Ratio, "-")</f>
        <v>6.5231572080887154E-3</v>
      </c>
      <c r="Q20" s="24">
        <f t="shared" ref="Q20" si="28">IF(I20&lt;&gt;"-",I20*ED_8*G20*WY_high/AT_LADC*Breathing_Ratio,"-")</f>
        <v>0.38230957996124337</v>
      </c>
      <c r="R20" s="461">
        <f t="shared" ref="R20" si="29">IF(J20&lt;&gt;"-",J20*ED_8*H20*WY_mid/AT_LADC*Breathing_Ratio,"-")</f>
        <v>2.5925368391121815E-3</v>
      </c>
      <c r="S20" s="28">
        <v>39</v>
      </c>
      <c r="T20" s="451" t="s">
        <v>490</v>
      </c>
      <c r="V20" s="12"/>
      <c r="W20" s="12"/>
      <c r="X20" s="12"/>
      <c r="Y20" s="12"/>
      <c r="Z20" s="13"/>
      <c r="AA20" s="29"/>
      <c r="AC20" s="12"/>
      <c r="AD20" s="433"/>
      <c r="AE20" s="433"/>
      <c r="AF20" s="434"/>
    </row>
    <row r="21" spans="1:32" x14ac:dyDescent="0.2">
      <c r="A21" s="30" t="s">
        <v>472</v>
      </c>
      <c r="B21" s="22" t="s">
        <v>7</v>
      </c>
      <c r="C21" s="22" t="s">
        <v>7</v>
      </c>
      <c r="D21" s="32">
        <v>228</v>
      </c>
      <c r="E21" s="630"/>
      <c r="F21" s="631"/>
      <c r="G21" s="472">
        <v>250</v>
      </c>
      <c r="H21" s="473">
        <v>250</v>
      </c>
      <c r="I21" s="27">
        <v>4.5661979166666672E-3</v>
      </c>
      <c r="J21" s="187">
        <v>6.9401041666666667E-5</v>
      </c>
      <c r="K21" s="27">
        <f t="shared" ref="K21:K28" si="30">IF(I21&lt;&gt;"-", I21*ED_8/AT*Breathing_Ratio,"-")</f>
        <v>3.106257086167801E-3</v>
      </c>
      <c r="L21" s="26">
        <f t="shared" ref="L21:L28" si="31">IF(J21&lt;&gt;"-", J21*ED_8/AT*Breathing_Ratio,"-")</f>
        <v>4.721159297052154E-5</v>
      </c>
      <c r="M21" s="25">
        <f t="shared" ref="M21:M28" si="32">IF(I21&lt;&gt;"-", IF(G21&gt;=EF_ST, I21*ED_8*EF_ST/AT_ADC_ST*Breathing_Ratio, I21*ED_8*G21/AT_ADC_ST*Breathing_Ratio),"-")</f>
        <v>2.2779218631897207E-3</v>
      </c>
      <c r="N21" s="26">
        <f t="shared" ref="N21:N28" si="33">IF(J21&lt;&gt;"-", IF(H21&gt;=EF_ST, J21*ED_8*EF_ST/AT_ADC_ST*Breathing_Ratio, J21*ED_8*H21/AT_ADC_ST*Breathing_Ratio),"-")</f>
        <v>3.4621834845049136E-5</v>
      </c>
      <c r="O21" s="27">
        <f t="shared" ref="O21:O28" si="34">IF(I21&lt;&gt;"-", I21*ED_8*G21*WY_high/AT_ADC_high*Breathing_Ratio,"-")</f>
        <v>2.1275733466902744E-3</v>
      </c>
      <c r="P21" s="26">
        <f t="shared" ref="P21:P28" si="35">IF(J21&lt;&gt;"-", J21*ED_8*H21*WY_mid/AT_ADC_mid*Breathing_Ratio, "-")</f>
        <v>3.233670751405585E-5</v>
      </c>
      <c r="Q21" s="27">
        <f t="shared" ref="Q21:Q28" si="36">IF(I21&lt;&gt;"-",I21*ED_8*G21*WY_high/AT_LADC*Breathing_Ratio,"-")</f>
        <v>1.0910632547129612E-3</v>
      </c>
      <c r="R21" s="26">
        <f t="shared" ref="R21:R28" si="37">IF(J21&lt;&gt;"-",J21*ED_8*H21*WY_mid/AT_LADC*Breathing_Ratio,"-")</f>
        <v>1.2851768370970914E-5</v>
      </c>
      <c r="S21" s="191">
        <v>26</v>
      </c>
      <c r="T21" s="452" t="s">
        <v>491</v>
      </c>
      <c r="U21" s="35"/>
      <c r="V21" s="36"/>
      <c r="W21" s="36"/>
      <c r="X21" s="36"/>
      <c r="Y21" s="37"/>
      <c r="Z21" s="38"/>
      <c r="AA21" s="39"/>
      <c r="AC21" s="39"/>
      <c r="AD21" s="38"/>
      <c r="AE21" s="410"/>
      <c r="AF21" s="38"/>
    </row>
    <row r="22" spans="1:32" x14ac:dyDescent="0.2">
      <c r="A22" s="30" t="s">
        <v>468</v>
      </c>
      <c r="B22" s="22" t="s">
        <v>7</v>
      </c>
      <c r="C22" s="22" t="s">
        <v>7</v>
      </c>
      <c r="D22" s="32">
        <v>228</v>
      </c>
      <c r="E22" s="630"/>
      <c r="F22" s="631"/>
      <c r="G22" s="472">
        <v>250</v>
      </c>
      <c r="H22" s="473">
        <v>250</v>
      </c>
      <c r="I22" s="27">
        <v>4.5661979166666672E-3</v>
      </c>
      <c r="J22" s="187">
        <v>6.9401041666666667E-5</v>
      </c>
      <c r="K22" s="27">
        <f t="shared" ref="K22:K25" si="38">IF(I22&lt;&gt;"-", I22*ED_8/AT*Breathing_Ratio,"-")</f>
        <v>3.106257086167801E-3</v>
      </c>
      <c r="L22" s="26">
        <f t="shared" ref="L22:L25" si="39">IF(J22&lt;&gt;"-", J22*ED_8/AT*Breathing_Ratio,"-")</f>
        <v>4.721159297052154E-5</v>
      </c>
      <c r="M22" s="25">
        <f t="shared" ref="M22:M25" si="40">IF(I22&lt;&gt;"-", IF(G22&gt;=EF_ST, I22*ED_8*EF_ST/AT_ADC_ST*Breathing_Ratio, I22*ED_8*G22/AT_ADC_ST*Breathing_Ratio),"-")</f>
        <v>2.2779218631897207E-3</v>
      </c>
      <c r="N22" s="26">
        <f t="shared" ref="N22:N25" si="41">IF(J22&lt;&gt;"-", IF(H22&gt;=EF_ST, J22*ED_8*EF_ST/AT_ADC_ST*Breathing_Ratio, J22*ED_8*H22/AT_ADC_ST*Breathing_Ratio),"-")</f>
        <v>3.4621834845049136E-5</v>
      </c>
      <c r="O22" s="27">
        <f t="shared" ref="O22:O25" si="42">IF(I22&lt;&gt;"-", I22*ED_8*G22*WY_high/AT_ADC_high*Breathing_Ratio,"-")</f>
        <v>2.1275733466902744E-3</v>
      </c>
      <c r="P22" s="26">
        <f t="shared" ref="P22:P25" si="43">IF(J22&lt;&gt;"-", J22*ED_8*H22*WY_mid/AT_ADC_mid*Breathing_Ratio, "-")</f>
        <v>3.233670751405585E-5</v>
      </c>
      <c r="Q22" s="27">
        <f t="shared" ref="Q22:Q25" si="44">IF(I22&lt;&gt;"-",I22*ED_8*G22*WY_high/AT_LADC*Breathing_Ratio,"-")</f>
        <v>1.0910632547129612E-3</v>
      </c>
      <c r="R22" s="26">
        <f t="shared" ref="R22:R25" si="45">IF(J22&lt;&gt;"-",J22*ED_8*H22*WY_mid/AT_LADC*Breathing_Ratio,"-")</f>
        <v>1.2851768370970914E-5</v>
      </c>
      <c r="S22" s="191">
        <v>26</v>
      </c>
      <c r="T22" s="452" t="s">
        <v>491</v>
      </c>
      <c r="U22" s="35"/>
      <c r="V22" s="36"/>
      <c r="W22" s="36"/>
      <c r="X22" s="36"/>
      <c r="Y22" s="37"/>
      <c r="Z22" s="38"/>
      <c r="AA22" s="39"/>
      <c r="AC22" s="39"/>
      <c r="AD22" s="38"/>
      <c r="AE22" s="410"/>
      <c r="AF22" s="38"/>
    </row>
    <row r="23" spans="1:32" x14ac:dyDescent="0.2">
      <c r="A23" s="30" t="s">
        <v>469</v>
      </c>
      <c r="B23" s="22" t="s">
        <v>7</v>
      </c>
      <c r="C23" s="22" t="s">
        <v>7</v>
      </c>
      <c r="D23" s="32">
        <v>228</v>
      </c>
      <c r="E23" s="630"/>
      <c r="F23" s="631"/>
      <c r="G23" s="472">
        <v>250</v>
      </c>
      <c r="H23" s="473">
        <v>250</v>
      </c>
      <c r="I23" s="27">
        <v>4.5661979166666672E-3</v>
      </c>
      <c r="J23" s="187">
        <v>6.9401041666666667E-5</v>
      </c>
      <c r="K23" s="27">
        <f t="shared" si="38"/>
        <v>3.106257086167801E-3</v>
      </c>
      <c r="L23" s="26">
        <f t="shared" si="39"/>
        <v>4.721159297052154E-5</v>
      </c>
      <c r="M23" s="25">
        <f t="shared" si="40"/>
        <v>2.2779218631897207E-3</v>
      </c>
      <c r="N23" s="26">
        <f t="shared" si="41"/>
        <v>3.4621834845049136E-5</v>
      </c>
      <c r="O23" s="27">
        <f t="shared" si="42"/>
        <v>2.1275733466902744E-3</v>
      </c>
      <c r="P23" s="26">
        <f t="shared" si="43"/>
        <v>3.233670751405585E-5</v>
      </c>
      <c r="Q23" s="27">
        <f t="shared" si="44"/>
        <v>1.0910632547129612E-3</v>
      </c>
      <c r="R23" s="26">
        <f t="shared" si="45"/>
        <v>1.2851768370970914E-5</v>
      </c>
      <c r="S23" s="191">
        <v>26</v>
      </c>
      <c r="T23" s="452" t="s">
        <v>491</v>
      </c>
      <c r="U23" s="35"/>
      <c r="V23" s="36"/>
      <c r="W23" s="36"/>
      <c r="X23" s="36"/>
      <c r="Y23" s="37"/>
      <c r="Z23" s="38"/>
      <c r="AA23" s="39"/>
      <c r="AC23" s="39"/>
      <c r="AD23" s="38"/>
      <c r="AE23" s="410"/>
      <c r="AF23" s="38"/>
    </row>
    <row r="24" spans="1:32" x14ac:dyDescent="0.2">
      <c r="A24" s="30" t="s">
        <v>470</v>
      </c>
      <c r="B24" s="22" t="s">
        <v>7</v>
      </c>
      <c r="C24" s="22" t="s">
        <v>7</v>
      </c>
      <c r="D24" s="32">
        <v>228</v>
      </c>
      <c r="E24" s="630"/>
      <c r="F24" s="631"/>
      <c r="G24" s="472">
        <v>250</v>
      </c>
      <c r="H24" s="473">
        <v>250</v>
      </c>
      <c r="I24" s="27">
        <v>4.5661979166666672E-3</v>
      </c>
      <c r="J24" s="187">
        <v>6.9401041666666667E-5</v>
      </c>
      <c r="K24" s="27">
        <f t="shared" si="38"/>
        <v>3.106257086167801E-3</v>
      </c>
      <c r="L24" s="26">
        <f t="shared" si="39"/>
        <v>4.721159297052154E-5</v>
      </c>
      <c r="M24" s="25">
        <f t="shared" si="40"/>
        <v>2.2779218631897207E-3</v>
      </c>
      <c r="N24" s="26">
        <f t="shared" si="41"/>
        <v>3.4621834845049136E-5</v>
      </c>
      <c r="O24" s="27">
        <f t="shared" si="42"/>
        <v>2.1275733466902744E-3</v>
      </c>
      <c r="P24" s="26">
        <f t="shared" si="43"/>
        <v>3.233670751405585E-5</v>
      </c>
      <c r="Q24" s="27">
        <f t="shared" si="44"/>
        <v>1.0910632547129612E-3</v>
      </c>
      <c r="R24" s="26">
        <f t="shared" si="45"/>
        <v>1.2851768370970914E-5</v>
      </c>
      <c r="S24" s="191">
        <v>26</v>
      </c>
      <c r="T24" s="452" t="s">
        <v>491</v>
      </c>
      <c r="U24" s="35"/>
      <c r="V24" s="36"/>
      <c r="W24" s="36"/>
      <c r="X24" s="36"/>
      <c r="Y24" s="37"/>
      <c r="Z24" s="38"/>
      <c r="AA24" s="39"/>
      <c r="AC24" s="39"/>
      <c r="AD24" s="38"/>
      <c r="AE24" s="410"/>
      <c r="AF24" s="38"/>
    </row>
    <row r="25" spans="1:32" x14ac:dyDescent="0.2">
      <c r="A25" s="30" t="s">
        <v>471</v>
      </c>
      <c r="B25" s="22" t="s">
        <v>7</v>
      </c>
      <c r="C25" s="22" t="s">
        <v>7</v>
      </c>
      <c r="D25" s="32">
        <v>228</v>
      </c>
      <c r="E25" s="630"/>
      <c r="F25" s="631"/>
      <c r="G25" s="472">
        <v>250</v>
      </c>
      <c r="H25" s="473">
        <v>250</v>
      </c>
      <c r="I25" s="27">
        <v>4.5661979166666672E-3</v>
      </c>
      <c r="J25" s="187">
        <v>6.9401041666666667E-5</v>
      </c>
      <c r="K25" s="27">
        <f t="shared" si="38"/>
        <v>3.106257086167801E-3</v>
      </c>
      <c r="L25" s="26">
        <f t="shared" si="39"/>
        <v>4.721159297052154E-5</v>
      </c>
      <c r="M25" s="25">
        <f t="shared" si="40"/>
        <v>2.2779218631897207E-3</v>
      </c>
      <c r="N25" s="26">
        <f t="shared" si="41"/>
        <v>3.4621834845049136E-5</v>
      </c>
      <c r="O25" s="27">
        <f t="shared" si="42"/>
        <v>2.1275733466902744E-3</v>
      </c>
      <c r="P25" s="26">
        <f t="shared" si="43"/>
        <v>3.233670751405585E-5</v>
      </c>
      <c r="Q25" s="27">
        <f t="shared" si="44"/>
        <v>1.0910632547129612E-3</v>
      </c>
      <c r="R25" s="26">
        <f t="shared" si="45"/>
        <v>1.2851768370970914E-5</v>
      </c>
      <c r="S25" s="191">
        <v>26</v>
      </c>
      <c r="T25" s="452" t="s">
        <v>491</v>
      </c>
      <c r="U25" s="35"/>
      <c r="V25" s="36"/>
      <c r="W25" s="36"/>
      <c r="X25" s="36"/>
      <c r="Y25" s="37"/>
      <c r="Z25" s="38"/>
      <c r="AA25" s="39"/>
      <c r="AC25" s="39"/>
      <c r="AD25" s="38"/>
      <c r="AE25" s="410"/>
      <c r="AF25" s="38"/>
    </row>
    <row r="26" spans="1:32" x14ac:dyDescent="0.2">
      <c r="A26" s="30" t="s">
        <v>1</v>
      </c>
      <c r="B26" s="41">
        <f>INDEX('Byproduct Conc_Inhalation'!$I$4:$I$9, MATCH('Inhalation Exposures'!A26,'Byproduct Conc_Inhalation'!$C$4:$C$9, 0))</f>
        <v>2.925931899062607E-3</v>
      </c>
      <c r="C26" s="31">
        <f>INDEX('Byproduct Conc_Inhalation'!$J$4:$J$9, MATCH('Inhalation Exposures'!A26,'Byproduct Conc_Inhalation'!$C$4:$C$9, 0))</f>
        <v>0.99481684568128637</v>
      </c>
      <c r="D26" s="32">
        <v>228</v>
      </c>
      <c r="E26" s="630"/>
      <c r="F26" s="631"/>
      <c r="G26" s="472">
        <v>250</v>
      </c>
      <c r="H26" s="473">
        <v>250</v>
      </c>
      <c r="I26" s="33">
        <f t="shared" ref="I26:J28" si="46">I$20*($D26*$B26)/($D$20*$C26)</f>
        <v>1.3598747483784389E-2</v>
      </c>
      <c r="J26" s="93">
        <f t="shared" si="46"/>
        <v>1.189890404831134E-4</v>
      </c>
      <c r="K26" s="27">
        <f t="shared" si="30"/>
        <v>9.2508486284247557E-3</v>
      </c>
      <c r="L26" s="26">
        <f t="shared" si="31"/>
        <v>8.0944925498716594E-5</v>
      </c>
      <c r="M26" s="25">
        <f t="shared" si="32"/>
        <v>6.7839556608448193E-3</v>
      </c>
      <c r="N26" s="26">
        <f t="shared" si="33"/>
        <v>5.9359612032392179E-5</v>
      </c>
      <c r="O26" s="27">
        <f t="shared" si="34"/>
        <v>6.3361976907018863E-3</v>
      </c>
      <c r="P26" s="26">
        <f t="shared" si="35"/>
        <v>5.5441729793641507E-5</v>
      </c>
      <c r="Q26" s="27">
        <f t="shared" si="36"/>
        <v>3.24933214907789E-3</v>
      </c>
      <c r="R26" s="26">
        <f t="shared" si="37"/>
        <v>2.2034533635934445E-5</v>
      </c>
      <c r="S26" s="34" t="s">
        <v>25</v>
      </c>
      <c r="T26" s="453" t="s">
        <v>492</v>
      </c>
      <c r="U26" s="35"/>
      <c r="V26" s="36"/>
      <c r="W26" s="36"/>
      <c r="X26" s="36"/>
      <c r="Y26" s="37"/>
      <c r="Z26" s="38"/>
      <c r="AA26" s="39"/>
      <c r="AC26" s="39"/>
      <c r="AD26" s="38"/>
      <c r="AE26" s="410"/>
      <c r="AF26" s="38"/>
    </row>
    <row r="27" spans="1:32" x14ac:dyDescent="0.2">
      <c r="A27" s="30" t="s">
        <v>3</v>
      </c>
      <c r="B27" s="41">
        <f>INDEX('Byproduct Conc_Inhalation'!$I$4:$I$9, MATCH('Inhalation Exposures'!A27,'Byproduct Conc_Inhalation'!$C$4:$C$9, 0))</f>
        <v>9.0008859666249573E-5</v>
      </c>
      <c r="C27" s="31">
        <f>INDEX('Byproduct Conc_Inhalation'!$J$4:$J$9, MATCH('Inhalation Exposures'!A27,'Byproduct Conc_Inhalation'!$C$4:$C$9, 0))</f>
        <v>0.99481684568128637</v>
      </c>
      <c r="D27" s="32">
        <v>18.5</v>
      </c>
      <c r="E27" s="630"/>
      <c r="F27" s="631"/>
      <c r="G27" s="472">
        <v>250</v>
      </c>
      <c r="H27" s="473">
        <v>250</v>
      </c>
      <c r="I27" s="33">
        <f t="shared" si="46"/>
        <v>3.3943516819394108E-5</v>
      </c>
      <c r="J27" s="93">
        <f t="shared" si="46"/>
        <v>2.9700577216969839E-7</v>
      </c>
      <c r="K27" s="27">
        <f t="shared" si="30"/>
        <v>2.3090827768295312E-5</v>
      </c>
      <c r="L27" s="26">
        <f t="shared" si="31"/>
        <v>2.0204474297258395E-7</v>
      </c>
      <c r="M27" s="25">
        <f t="shared" si="32"/>
        <v>1.6933273696749894E-5</v>
      </c>
      <c r="N27" s="26">
        <f t="shared" si="33"/>
        <v>1.4816614484656157E-7</v>
      </c>
      <c r="O27" s="27">
        <f>IF(I27&lt;&gt;"-", I27*ED_8*G27*WY_high/AT_ADC_high,"-")</f>
        <v>7.7496613742908927E-6</v>
      </c>
      <c r="P27" s="26">
        <f>IF(J27&lt;&gt;"-", J27*ED_8*H27*WY_mid/AT_ADC_mid, "-")</f>
        <v>6.7809537025045293E-8</v>
      </c>
      <c r="Q27" s="27">
        <f t="shared" si="36"/>
        <v>8.1105822860187256E-6</v>
      </c>
      <c r="R27" s="26">
        <f t="shared" si="37"/>
        <v>5.4999886127064471E-8</v>
      </c>
      <c r="S27" s="40" t="s">
        <v>25</v>
      </c>
      <c r="T27" s="453" t="s">
        <v>492</v>
      </c>
      <c r="V27" s="38"/>
      <c r="W27" s="38"/>
      <c r="X27" s="38"/>
      <c r="Y27" s="37"/>
      <c r="Z27" s="38"/>
    </row>
    <row r="28" spans="1:32" ht="13.5" thickBot="1" x14ac:dyDescent="0.25">
      <c r="A28" s="42" t="s">
        <v>461</v>
      </c>
      <c r="B28" s="234">
        <f>INDEX('Byproduct Conc_Inhalation'!$I$4:$I$9, MATCH('Inhalation Exposures'!A28,'Byproduct Conc_Inhalation'!$C$4:$C$9, 0))</f>
        <v>1.1704025935670667E-3</v>
      </c>
      <c r="C28" s="43">
        <f>INDEX('Byproduct Conc_Inhalation'!$J$4:$J$9, MATCH('Inhalation Exposures'!A28,'Byproduct Conc_Inhalation'!$C$4:$C$9, 0))</f>
        <v>0.99481684568128637</v>
      </c>
      <c r="D28" s="44">
        <v>435</v>
      </c>
      <c r="E28" s="615"/>
      <c r="F28" s="617"/>
      <c r="G28" s="474">
        <v>250</v>
      </c>
      <c r="H28" s="475">
        <v>250</v>
      </c>
      <c r="I28" s="45">
        <f t="shared" si="46"/>
        <v>1.0378256045898225E-2</v>
      </c>
      <c r="J28" s="94">
        <f t="shared" si="46"/>
        <v>9.0809740401609466E-5</v>
      </c>
      <c r="K28" s="465">
        <f t="shared" si="30"/>
        <v>7.0600381264613772E-3</v>
      </c>
      <c r="L28" s="466">
        <f t="shared" si="31"/>
        <v>6.1775333606537059E-5</v>
      </c>
      <c r="M28" s="467">
        <f t="shared" si="32"/>
        <v>5.1773612927383432E-3</v>
      </c>
      <c r="N28" s="466">
        <f t="shared" si="33"/>
        <v>4.5301911311460511E-5</v>
      </c>
      <c r="O28" s="465">
        <f t="shared" si="34"/>
        <v>4.8356425523708065E-3</v>
      </c>
      <c r="P28" s="466">
        <f t="shared" si="35"/>
        <v>4.2311872333244561E-5</v>
      </c>
      <c r="Q28" s="465">
        <f t="shared" si="36"/>
        <v>2.4798166935234905E-3</v>
      </c>
      <c r="R28" s="466">
        <f t="shared" si="37"/>
        <v>1.6816256952956169E-5</v>
      </c>
      <c r="S28" s="47" t="s">
        <v>25</v>
      </c>
      <c r="T28" s="478" t="s">
        <v>492</v>
      </c>
      <c r="V28" s="38"/>
      <c r="W28" s="38"/>
      <c r="X28" s="38"/>
      <c r="Y28" s="37"/>
      <c r="Z28" s="38"/>
    </row>
    <row r="31" spans="1:32" ht="15.75" x14ac:dyDescent="0.2">
      <c r="A31" s="281" t="s">
        <v>219</v>
      </c>
      <c r="B31" s="279"/>
      <c r="C31" s="279"/>
      <c r="D31" s="279"/>
      <c r="E31" s="280"/>
      <c r="F31" s="280"/>
      <c r="G31" s="280"/>
      <c r="H31" s="280"/>
      <c r="I31" s="280"/>
      <c r="J31" s="280"/>
      <c r="K31" s="280"/>
      <c r="L31" s="280"/>
      <c r="M31" s="280"/>
      <c r="N31" s="280"/>
      <c r="O31" s="280"/>
      <c r="P31" s="280"/>
      <c r="Q31" s="280"/>
      <c r="R31" s="280"/>
      <c r="S31" s="279"/>
      <c r="T31" s="280"/>
    </row>
    <row r="33" spans="1:20" ht="13.5" thickBot="1" x14ac:dyDescent="0.25">
      <c r="A33" s="3" t="s">
        <v>203</v>
      </c>
    </row>
    <row r="34" spans="1:20" ht="12.95" customHeight="1" x14ac:dyDescent="0.2">
      <c r="A34" s="618" t="s">
        <v>22</v>
      </c>
      <c r="B34" s="618" t="s">
        <v>204</v>
      </c>
      <c r="C34" s="618" t="s">
        <v>488</v>
      </c>
      <c r="D34" s="621" t="s">
        <v>205</v>
      </c>
      <c r="E34" s="624" t="s">
        <v>85</v>
      </c>
      <c r="F34" s="6"/>
      <c r="G34" s="638" t="s">
        <v>206</v>
      </c>
      <c r="H34" s="639"/>
      <c r="I34" s="632" t="s">
        <v>207</v>
      </c>
      <c r="J34" s="633"/>
      <c r="K34" s="632" t="s">
        <v>208</v>
      </c>
      <c r="L34" s="633"/>
      <c r="M34" s="632" t="s">
        <v>88</v>
      </c>
      <c r="N34" s="633"/>
      <c r="O34" s="632" t="s">
        <v>89</v>
      </c>
      <c r="P34" s="633"/>
      <c r="Q34" s="632" t="s">
        <v>90</v>
      </c>
      <c r="R34" s="633"/>
      <c r="S34" s="7"/>
      <c r="T34" s="6"/>
    </row>
    <row r="35" spans="1:20" x14ac:dyDescent="0.2">
      <c r="A35" s="619"/>
      <c r="B35" s="619"/>
      <c r="C35" s="619"/>
      <c r="D35" s="622"/>
      <c r="E35" s="625"/>
      <c r="F35" s="9"/>
      <c r="G35" s="634" t="s">
        <v>209</v>
      </c>
      <c r="H35" s="635"/>
      <c r="I35" s="636" t="s">
        <v>210</v>
      </c>
      <c r="J35" s="637"/>
      <c r="K35" s="636" t="s">
        <v>211</v>
      </c>
      <c r="L35" s="637"/>
      <c r="M35" s="636" t="s">
        <v>212</v>
      </c>
      <c r="N35" s="637"/>
      <c r="O35" s="636" t="s">
        <v>212</v>
      </c>
      <c r="P35" s="637"/>
      <c r="Q35" s="636" t="s">
        <v>213</v>
      </c>
      <c r="R35" s="637"/>
      <c r="S35" s="10"/>
      <c r="T35" s="9"/>
    </row>
    <row r="36" spans="1:20" ht="26.25" thickBot="1" x14ac:dyDescent="0.25">
      <c r="A36" s="620"/>
      <c r="B36" s="620"/>
      <c r="C36" s="620"/>
      <c r="D36" s="623"/>
      <c r="E36" s="626"/>
      <c r="F36" s="456" t="s">
        <v>214</v>
      </c>
      <c r="G36" s="16" t="s">
        <v>103</v>
      </c>
      <c r="H36" s="17" t="s">
        <v>27</v>
      </c>
      <c r="I36" s="457" t="s">
        <v>103</v>
      </c>
      <c r="J36" s="17" t="s">
        <v>27</v>
      </c>
      <c r="K36" s="457" t="s">
        <v>103</v>
      </c>
      <c r="L36" s="458" t="s">
        <v>27</v>
      </c>
      <c r="M36" s="16" t="s">
        <v>103</v>
      </c>
      <c r="N36" s="458" t="s">
        <v>27</v>
      </c>
      <c r="O36" s="457" t="s">
        <v>103</v>
      </c>
      <c r="P36" s="458" t="s">
        <v>27</v>
      </c>
      <c r="Q36" s="457" t="s">
        <v>103</v>
      </c>
      <c r="R36" s="458" t="s">
        <v>27</v>
      </c>
      <c r="S36" s="459" t="s">
        <v>215</v>
      </c>
      <c r="T36" s="456" t="s">
        <v>216</v>
      </c>
    </row>
    <row r="37" spans="1:20" x14ac:dyDescent="0.2">
      <c r="A37" s="460" t="s">
        <v>0</v>
      </c>
      <c r="B37" s="22" t="s">
        <v>7</v>
      </c>
      <c r="C37" s="22" t="s">
        <v>7</v>
      </c>
      <c r="D37" s="23">
        <v>78.900000000000006</v>
      </c>
      <c r="E37" s="614" t="s">
        <v>30</v>
      </c>
      <c r="F37" s="616" t="s">
        <v>217</v>
      </c>
      <c r="G37" s="470">
        <v>250</v>
      </c>
      <c r="H37" s="471">
        <v>250</v>
      </c>
      <c r="I37" s="24">
        <f>'Mfg_1,2-DCA Test Order Data'!L4/1000</f>
        <v>7.3</v>
      </c>
      <c r="J37" s="92">
        <f>'Mfg_1,2-DCA Test Order Data'!K4/1000</f>
        <v>0.48</v>
      </c>
      <c r="K37" s="27">
        <f t="shared" ref="K37:K44" si="47">IF(I37&lt;&gt;"-", I37*ED_8/AT*Breathing_Ratio,"-")</f>
        <v>4.9659863945578229</v>
      </c>
      <c r="L37" s="26">
        <f t="shared" ref="L37:L44" si="48">IF(J37&lt;&gt;"-", J37*ED_8/AT*Breathing_Ratio,"-")</f>
        <v>0.32653061224489799</v>
      </c>
      <c r="M37" s="25">
        <f t="shared" ref="M37:M44" si="49">IF(I37&lt;&gt;"-", IF(G37&gt;=EF_ST, I37*ED_8*EF_ST/AT_ADC_ST*Breathing_Ratio, I37*ED_8*G37/AT_ADC_ST*Breathing_Ratio),"-")</f>
        <v>3.64172335600907</v>
      </c>
      <c r="N37" s="26">
        <f t="shared" ref="N37:N44" si="50">IF(J37&lt;&gt;"-", IF(H37&gt;=EF_ST, J37*ED_8*EF_ST/AT_ADC_ST*Breathing_Ratio, J37*ED_8*H37/AT_ADC_ST*Breathing_Ratio),"-")</f>
        <v>0.23945578231292514</v>
      </c>
      <c r="O37" s="27">
        <f t="shared" ref="O37:O44" si="51">IF(I37&lt;&gt;"-", I37*ED_8*G37*WY_high/AT_ADC_high*Breathing_Ratio,"-")</f>
        <v>3.4013605442176873</v>
      </c>
      <c r="P37" s="26">
        <f t="shared" ref="P37:P44" si="52">IF(J37&lt;&gt;"-", J37*ED_8*H37*WY_mid/AT_ADC_mid*Breathing_Ratio, "-")</f>
        <v>0.22365110427732737</v>
      </c>
      <c r="Q37" s="27">
        <f t="shared" ref="Q37:Q44" si="53">IF(I37&lt;&gt;"-",I37*ED_8*G37*WY_high/AT_LADC*Breathing_Ratio,"-")</f>
        <v>1.7442874585731729</v>
      </c>
      <c r="R37" s="26">
        <f t="shared" ref="R37:R44" si="54">IF(J37&lt;&gt;"-",J37*ED_8*H37*WY_mid/AT_LADC*Breathing_Ratio,"-")</f>
        <v>8.888697734098909E-2</v>
      </c>
      <c r="S37" s="28">
        <v>53</v>
      </c>
      <c r="T37" s="451" t="s">
        <v>490</v>
      </c>
    </row>
    <row r="38" spans="1:20" x14ac:dyDescent="0.2">
      <c r="A38" s="30" t="s">
        <v>468</v>
      </c>
      <c r="B38" s="22" t="s">
        <v>7</v>
      </c>
      <c r="C38" s="22" t="s">
        <v>7</v>
      </c>
      <c r="D38" s="32">
        <v>228</v>
      </c>
      <c r="E38" s="630"/>
      <c r="F38" s="631"/>
      <c r="G38" s="472">
        <v>250</v>
      </c>
      <c r="H38" s="473">
        <v>250</v>
      </c>
      <c r="I38" s="27">
        <v>9.009583333333333E-3</v>
      </c>
      <c r="J38" s="187">
        <v>1.5583333333333334E-3</v>
      </c>
      <c r="K38" s="27">
        <f t="shared" si="47"/>
        <v>6.1289682539682538E-3</v>
      </c>
      <c r="L38" s="26">
        <f t="shared" si="48"/>
        <v>1.0600907029478458E-3</v>
      </c>
      <c r="M38" s="25">
        <f t="shared" si="49"/>
        <v>4.4945767195767195E-3</v>
      </c>
      <c r="N38" s="26">
        <f t="shared" si="50"/>
        <v>7.7739984882842033E-4</v>
      </c>
      <c r="O38" s="27">
        <f t="shared" si="51"/>
        <v>4.1979234616220922E-3</v>
      </c>
      <c r="P38" s="26">
        <f t="shared" si="52"/>
        <v>7.2608952256701773E-4</v>
      </c>
      <c r="Q38" s="27">
        <f t="shared" si="53"/>
        <v>2.1527812623703033E-3</v>
      </c>
      <c r="R38" s="26">
        <f t="shared" si="54"/>
        <v>2.8857404102022497E-4</v>
      </c>
      <c r="S38" s="34">
        <v>31</v>
      </c>
      <c r="T38" s="452" t="s">
        <v>491</v>
      </c>
    </row>
    <row r="39" spans="1:20" x14ac:dyDescent="0.2">
      <c r="A39" s="30" t="s">
        <v>469</v>
      </c>
      <c r="B39" s="288" t="s">
        <v>7</v>
      </c>
      <c r="C39" s="288" t="s">
        <v>7</v>
      </c>
      <c r="D39" s="32">
        <v>228</v>
      </c>
      <c r="E39" s="630"/>
      <c r="F39" s="631"/>
      <c r="G39" s="472">
        <v>250</v>
      </c>
      <c r="H39" s="473">
        <v>250</v>
      </c>
      <c r="I39" s="33">
        <v>2.7000000000000001E-3</v>
      </c>
      <c r="J39" s="93">
        <v>2.3000000000000001E-4</v>
      </c>
      <c r="K39" s="27">
        <f t="shared" ref="K39:K41" si="55">IF(I39&lt;&gt;"-", I39*ED_8/AT*Breathing_Ratio,"-")</f>
        <v>1.8367346938775511E-3</v>
      </c>
      <c r="L39" s="26">
        <f t="shared" ref="L39:L41" si="56">IF(J39&lt;&gt;"-", J39*ED_8/AT*Breathing_Ratio,"-")</f>
        <v>1.5646258503401362E-4</v>
      </c>
      <c r="M39" s="25">
        <f t="shared" ref="M39:M41" si="57">IF(I39&lt;&gt;"-", IF(G39&gt;=EF_ST, I39*ED_8*EF_ST/AT_ADC_ST*Breathing_Ratio, I39*ED_8*G39/AT_ADC_ST*Breathing_Ratio),"-")</f>
        <v>1.346938775510204E-3</v>
      </c>
      <c r="N39" s="26">
        <f t="shared" ref="N39:N41" si="58">IF(J39&lt;&gt;"-", IF(H39&gt;=EF_ST, J39*ED_8*EF_ST/AT_ADC_ST*Breathing_Ratio, J39*ED_8*H39/AT_ADC_ST*Breathing_Ratio),"-")</f>
        <v>1.1473922902494331E-4</v>
      </c>
      <c r="O39" s="27">
        <f t="shared" ref="O39:O41" si="59">IF(I39&lt;&gt;"-", I39*ED_8*G39*WY_high/AT_ADC_high*Breathing_Ratio,"-")</f>
        <v>1.2580374615599665E-3</v>
      </c>
      <c r="P39" s="26">
        <f t="shared" ref="P39:P41" si="60">IF(J39&lt;&gt;"-", J39*ED_8*H39*WY_mid/AT_ADC_mid*Breathing_Ratio, "-")</f>
        <v>1.0716615413288603E-4</v>
      </c>
      <c r="Q39" s="27">
        <f t="shared" ref="Q39:Q41" si="61">IF(I39&lt;&gt;"-",I39*ED_8*G39*WY_high/AT_LADC*Breathing_Ratio,"-")</f>
        <v>6.4514741618459817E-4</v>
      </c>
      <c r="R39" s="26">
        <f t="shared" ref="R39:R41" si="62">IF(J39&lt;&gt;"-",J39*ED_8*H39*WY_mid/AT_LADC*Breathing_Ratio,"-")</f>
        <v>4.2591676642557271E-5</v>
      </c>
      <c r="S39" s="34">
        <v>17</v>
      </c>
      <c r="T39" s="452" t="s">
        <v>491</v>
      </c>
    </row>
    <row r="40" spans="1:20" x14ac:dyDescent="0.2">
      <c r="A40" s="30" t="s">
        <v>470</v>
      </c>
      <c r="B40" s="288" t="s">
        <v>7</v>
      </c>
      <c r="C40" s="288" t="s">
        <v>7</v>
      </c>
      <c r="D40" s="32">
        <v>228</v>
      </c>
      <c r="E40" s="630"/>
      <c r="F40" s="631"/>
      <c r="G40" s="472">
        <v>250</v>
      </c>
      <c r="H40" s="473">
        <v>250</v>
      </c>
      <c r="I40" s="33">
        <v>1.6000000000000001E-3</v>
      </c>
      <c r="J40" s="93">
        <v>6.7000000000000002E-5</v>
      </c>
      <c r="K40" s="27">
        <f t="shared" si="55"/>
        <v>1.0884353741496598E-3</v>
      </c>
      <c r="L40" s="26">
        <f t="shared" si="56"/>
        <v>4.5578231292517009E-5</v>
      </c>
      <c r="M40" s="25">
        <f t="shared" si="57"/>
        <v>7.9818594104308393E-4</v>
      </c>
      <c r="N40" s="26">
        <f t="shared" si="58"/>
        <v>3.3424036281179142E-5</v>
      </c>
      <c r="O40" s="27">
        <f t="shared" si="59"/>
        <v>7.455036809244246E-4</v>
      </c>
      <c r="P40" s="26">
        <f t="shared" si="60"/>
        <v>3.1217966638710281E-5</v>
      </c>
      <c r="Q40" s="27">
        <f t="shared" si="61"/>
        <v>3.8230957996124337E-4</v>
      </c>
      <c r="R40" s="26">
        <f t="shared" si="62"/>
        <v>1.2407140587179725E-5</v>
      </c>
      <c r="S40" s="34">
        <v>7</v>
      </c>
      <c r="T40" s="452" t="s">
        <v>491</v>
      </c>
    </row>
    <row r="41" spans="1:20" x14ac:dyDescent="0.2">
      <c r="A41" s="30" t="s">
        <v>471</v>
      </c>
      <c r="B41" s="288" t="s">
        <v>7</v>
      </c>
      <c r="C41" s="288" t="s">
        <v>7</v>
      </c>
      <c r="D41" s="32">
        <v>228</v>
      </c>
      <c r="E41" s="630"/>
      <c r="F41" s="631"/>
      <c r="G41" s="472">
        <v>250</v>
      </c>
      <c r="H41" s="473">
        <v>250</v>
      </c>
      <c r="I41" s="33">
        <v>3.3E-3</v>
      </c>
      <c r="J41" s="93">
        <v>1.6000000000000001E-4</v>
      </c>
      <c r="K41" s="27">
        <f t="shared" si="55"/>
        <v>2.2448979591836735E-3</v>
      </c>
      <c r="L41" s="26">
        <f t="shared" si="56"/>
        <v>1.08843537414966E-4</v>
      </c>
      <c r="M41" s="25">
        <f t="shared" si="57"/>
        <v>1.6462585034013606E-3</v>
      </c>
      <c r="N41" s="26">
        <f t="shared" si="58"/>
        <v>7.9818594104308393E-5</v>
      </c>
      <c r="O41" s="27">
        <f t="shared" si="59"/>
        <v>1.5376013419066258E-3</v>
      </c>
      <c r="P41" s="26">
        <f t="shared" si="60"/>
        <v>7.4550368092442455E-5</v>
      </c>
      <c r="Q41" s="27">
        <f t="shared" si="61"/>
        <v>7.8851350867006453E-4</v>
      </c>
      <c r="R41" s="26">
        <f t="shared" si="62"/>
        <v>2.9628992446996361E-5</v>
      </c>
      <c r="S41" s="34">
        <v>17</v>
      </c>
      <c r="T41" s="452" t="s">
        <v>491</v>
      </c>
    </row>
    <row r="42" spans="1:20" x14ac:dyDescent="0.2">
      <c r="A42" s="30" t="s">
        <v>1</v>
      </c>
      <c r="B42" s="31">
        <f>INDEX('Byproduct Conc_Inhalation'!$M$17:$M$22, MATCH(A42,'Byproduct Conc_Inhalation'!$C$17:$C$22, 0))</f>
        <v>0.33597514035064679</v>
      </c>
      <c r="C42" s="60">
        <f>INDEX('Byproduct Conc_Inhalation'!$N$17:$N$22, MATCH(A42,'Byproduct Conc_Inhalation'!$C$17:$C$22, 0))</f>
        <v>0.44572925936612706</v>
      </c>
      <c r="D42" s="32">
        <v>228</v>
      </c>
      <c r="E42" s="630"/>
      <c r="F42" s="631"/>
      <c r="G42" s="472">
        <v>250</v>
      </c>
      <c r="H42" s="473">
        <v>250</v>
      </c>
      <c r="I42" s="33">
        <f>I$7*($D42*$B42)/($D$7*$C42)</f>
        <v>15.90071685636293</v>
      </c>
      <c r="J42" s="93">
        <f>J$7*($D42*$B42)/($D$7*$C42)</f>
        <v>1.0455265878156446</v>
      </c>
      <c r="K42" s="27">
        <f t="shared" si="47"/>
        <v>10.816814188001993</v>
      </c>
      <c r="L42" s="26">
        <f t="shared" si="48"/>
        <v>0.71124257674533642</v>
      </c>
      <c r="M42" s="25">
        <f t="shared" si="49"/>
        <v>7.9323304045347953</v>
      </c>
      <c r="N42" s="26">
        <f t="shared" si="50"/>
        <v>0.52157788961324669</v>
      </c>
      <c r="O42" s="27">
        <f t="shared" si="51"/>
        <v>7.4087768410972554</v>
      </c>
      <c r="P42" s="26">
        <f t="shared" si="52"/>
        <v>0.48715244982557282</v>
      </c>
      <c r="Q42" s="27">
        <f t="shared" si="53"/>
        <v>3.7993727390242338</v>
      </c>
      <c r="R42" s="26">
        <f t="shared" si="54"/>
        <v>0.19361187108452255</v>
      </c>
      <c r="S42" s="34"/>
      <c r="T42" s="453" t="s">
        <v>492</v>
      </c>
    </row>
    <row r="43" spans="1:20" x14ac:dyDescent="0.2">
      <c r="A43" s="30" t="s">
        <v>3</v>
      </c>
      <c r="B43" s="60">
        <f>INDEX('Byproduct Conc_Inhalation'!$M$17:$M$22, MATCH(A43,'Byproduct Conc_Inhalation'!$C$17:$C$22, 0))</f>
        <v>6.5977178596383062E-3</v>
      </c>
      <c r="C43" s="60">
        <f>INDEX('Byproduct Conc_Inhalation'!$N$17:$N$22, MATCH(A43,'Byproduct Conc_Inhalation'!$C$17:$C$22, 0))</f>
        <v>0.78060545866040765</v>
      </c>
      <c r="D43" s="32">
        <v>18.5</v>
      </c>
      <c r="E43" s="630"/>
      <c r="F43" s="631"/>
      <c r="G43" s="472">
        <v>250</v>
      </c>
      <c r="H43" s="473">
        <v>250</v>
      </c>
      <c r="I43" s="33">
        <f t="shared" ref="I43:J44" si="63">I$7*($D43*$B43)/($D$7*$C43)</f>
        <v>1.4467041961455597E-2</v>
      </c>
      <c r="J43" s="93">
        <f t="shared" si="63"/>
        <v>9.5125755362995704E-4</v>
      </c>
      <c r="K43" s="27">
        <f t="shared" si="47"/>
        <v>9.8415251438473458E-3</v>
      </c>
      <c r="L43" s="26">
        <f t="shared" si="48"/>
        <v>6.4711398206119533E-4</v>
      </c>
      <c r="M43" s="25">
        <f t="shared" si="49"/>
        <v>7.217118438821387E-3</v>
      </c>
      <c r="N43" s="26">
        <f t="shared" si="50"/>
        <v>4.7455025351154326E-4</v>
      </c>
      <c r="O43" s="27">
        <f>IF(I43&lt;&gt;"-", I43*ED_8*G43*WY_high/AT_ADC_high,"-")</f>
        <v>3.3029776167706843E-3</v>
      </c>
      <c r="P43" s="26">
        <f>IF(J43&lt;&gt;"-", J43*ED_8*H43*WY_mid/AT_ADC_mid, "-")</f>
        <v>2.1718208986985319E-4</v>
      </c>
      <c r="Q43" s="27">
        <f t="shared" si="53"/>
        <v>3.4568054597286075E-3</v>
      </c>
      <c r="R43" s="26">
        <f t="shared" si="54"/>
        <v>1.7615501794781397E-4</v>
      </c>
      <c r="S43" s="40" t="s">
        <v>25</v>
      </c>
      <c r="T43" s="453" t="s">
        <v>492</v>
      </c>
    </row>
    <row r="44" spans="1:20" ht="13.5" thickBot="1" x14ac:dyDescent="0.25">
      <c r="A44" s="42" t="s">
        <v>461</v>
      </c>
      <c r="B44" s="235">
        <f>INDEX('Byproduct Conc_Inhalation'!$M$17:$M$22, MATCH(A44,'Byproduct Conc_Inhalation'!$C$17:$C$22, 0))</f>
        <v>1.3036167741752387E-3</v>
      </c>
      <c r="C44" s="235">
        <f>INDEX('Byproduct Conc_Inhalation'!$N$17:$N$22, MATCH(A44,'Byproduct Conc_Inhalation'!$C$17:$C$22, 0))</f>
        <v>0.44572925936612706</v>
      </c>
      <c r="D44" s="44">
        <v>435</v>
      </c>
      <c r="E44" s="615"/>
      <c r="F44" s="617"/>
      <c r="G44" s="474">
        <v>250</v>
      </c>
      <c r="H44" s="475">
        <v>250</v>
      </c>
      <c r="I44" s="45">
        <f t="shared" si="63"/>
        <v>0.11771014919872487</v>
      </c>
      <c r="J44" s="94">
        <f t="shared" si="63"/>
        <v>7.7398454267654715E-3</v>
      </c>
      <c r="K44" s="465">
        <f t="shared" si="47"/>
        <v>8.0074931427703985E-2</v>
      </c>
      <c r="L44" s="466">
        <f t="shared" si="48"/>
        <v>5.2652009705887563E-3</v>
      </c>
      <c r="M44" s="467">
        <f t="shared" si="49"/>
        <v>5.8721616380316262E-2</v>
      </c>
      <c r="N44" s="466">
        <f t="shared" si="50"/>
        <v>3.8611473784317548E-3</v>
      </c>
      <c r="O44" s="465">
        <f t="shared" si="51"/>
        <v>5.4845843443632872E-2</v>
      </c>
      <c r="P44" s="466">
        <f t="shared" si="52"/>
        <v>3.6063020346498334E-3</v>
      </c>
      <c r="Q44" s="465">
        <f t="shared" si="53"/>
        <v>2.8126073560837371E-2</v>
      </c>
      <c r="R44" s="466">
        <f t="shared" si="54"/>
        <v>1.4332738855659594E-3</v>
      </c>
      <c r="S44" s="47" t="s">
        <v>25</v>
      </c>
      <c r="T44" s="478" t="s">
        <v>492</v>
      </c>
    </row>
    <row r="46" spans="1:20" ht="13.5" thickBot="1" x14ac:dyDescent="0.25">
      <c r="A46" s="3" t="s">
        <v>218</v>
      </c>
    </row>
    <row r="47" spans="1:20" ht="12.95" customHeight="1" x14ac:dyDescent="0.2">
      <c r="A47" s="618" t="s">
        <v>22</v>
      </c>
      <c r="B47" s="618" t="s">
        <v>204</v>
      </c>
      <c r="C47" s="618" t="s">
        <v>488</v>
      </c>
      <c r="D47" s="621" t="s">
        <v>205</v>
      </c>
      <c r="E47" s="624" t="s">
        <v>85</v>
      </c>
      <c r="F47" s="6"/>
      <c r="G47" s="638" t="s">
        <v>206</v>
      </c>
      <c r="H47" s="639"/>
      <c r="I47" s="632" t="s">
        <v>207</v>
      </c>
      <c r="J47" s="633"/>
      <c r="K47" s="632" t="s">
        <v>208</v>
      </c>
      <c r="L47" s="633"/>
      <c r="M47" s="632" t="s">
        <v>88</v>
      </c>
      <c r="N47" s="633"/>
      <c r="O47" s="632" t="s">
        <v>89</v>
      </c>
      <c r="P47" s="633"/>
      <c r="Q47" s="632" t="s">
        <v>90</v>
      </c>
      <c r="R47" s="633"/>
      <c r="S47" s="7"/>
      <c r="T47" s="6"/>
    </row>
    <row r="48" spans="1:20" x14ac:dyDescent="0.2">
      <c r="A48" s="619"/>
      <c r="B48" s="619"/>
      <c r="C48" s="619"/>
      <c r="D48" s="622"/>
      <c r="E48" s="625"/>
      <c r="F48" s="9"/>
      <c r="G48" s="634" t="s">
        <v>209</v>
      </c>
      <c r="H48" s="635"/>
      <c r="I48" s="636" t="s">
        <v>210</v>
      </c>
      <c r="J48" s="637"/>
      <c r="K48" s="636" t="s">
        <v>211</v>
      </c>
      <c r="L48" s="637"/>
      <c r="M48" s="636" t="s">
        <v>212</v>
      </c>
      <c r="N48" s="637"/>
      <c r="O48" s="636" t="s">
        <v>212</v>
      </c>
      <c r="P48" s="637"/>
      <c r="Q48" s="636" t="s">
        <v>213</v>
      </c>
      <c r="R48" s="637"/>
      <c r="S48" s="10"/>
      <c r="T48" s="9"/>
    </row>
    <row r="49" spans="1:21" ht="26.25" thickBot="1" x14ac:dyDescent="0.25">
      <c r="A49" s="620"/>
      <c r="B49" s="620"/>
      <c r="C49" s="620"/>
      <c r="D49" s="623"/>
      <c r="E49" s="626"/>
      <c r="F49" s="456" t="s">
        <v>214</v>
      </c>
      <c r="G49" s="16" t="s">
        <v>103</v>
      </c>
      <c r="H49" s="17" t="s">
        <v>27</v>
      </c>
      <c r="I49" s="457" t="s">
        <v>103</v>
      </c>
      <c r="J49" s="17" t="s">
        <v>27</v>
      </c>
      <c r="K49" s="457" t="s">
        <v>103</v>
      </c>
      <c r="L49" s="458" t="s">
        <v>27</v>
      </c>
      <c r="M49" s="16" t="s">
        <v>103</v>
      </c>
      <c r="N49" s="458" t="s">
        <v>27</v>
      </c>
      <c r="O49" s="457" t="s">
        <v>103</v>
      </c>
      <c r="P49" s="458" t="s">
        <v>27</v>
      </c>
      <c r="Q49" s="457" t="s">
        <v>103</v>
      </c>
      <c r="R49" s="458" t="s">
        <v>27</v>
      </c>
      <c r="S49" s="459" t="s">
        <v>215</v>
      </c>
      <c r="T49" s="456" t="s">
        <v>216</v>
      </c>
    </row>
    <row r="50" spans="1:21" x14ac:dyDescent="0.2">
      <c r="A50" s="460" t="s">
        <v>0</v>
      </c>
      <c r="B50" s="22" t="s">
        <v>7</v>
      </c>
      <c r="C50" s="22" t="s">
        <v>7</v>
      </c>
      <c r="D50" s="23">
        <v>78.900000000000006</v>
      </c>
      <c r="E50" s="614" t="s">
        <v>28</v>
      </c>
      <c r="F50" s="616" t="s">
        <v>217</v>
      </c>
      <c r="G50" s="470">
        <v>250</v>
      </c>
      <c r="H50" s="471">
        <v>250</v>
      </c>
      <c r="I50" s="24">
        <f>'Mfg_1,2-DCA Test Order Data'!L8/1000</f>
        <v>1.6</v>
      </c>
      <c r="J50" s="92">
        <f>'Mfg_1,2-DCA Test Order Data'!K8/1000</f>
        <v>1.4E-2</v>
      </c>
      <c r="K50" s="27">
        <f t="shared" ref="K50:K58" si="64">IF(I50&lt;&gt;"-", I50*ED_8/AT*Breathing_Ratio,"-")</f>
        <v>1.08843537414966</v>
      </c>
      <c r="L50" s="26">
        <f t="shared" ref="L50:L58" si="65">IF(J50&lt;&gt;"-", J50*ED_8/AT*Breathing_Ratio,"-")</f>
        <v>9.5238095238095247E-3</v>
      </c>
      <c r="M50" s="25">
        <f t="shared" ref="M50:M58" si="66">IF(I50&lt;&gt;"-", IF(G50&gt;=EF_ST, I50*ED_8*EF_ST/AT_ADC_ST*Breathing_Ratio, I50*ED_8*G50/AT_ADC_ST*Breathing_Ratio),"-")</f>
        <v>0.79818594104308394</v>
      </c>
      <c r="N50" s="26">
        <f t="shared" ref="N50:N58" si="67">IF(J50&lt;&gt;"-", IF(H50&gt;=EF_ST, J50*ED_8*EF_ST/AT_ADC_ST*Breathing_Ratio, J50*ED_8*H50/AT_ADC_ST*Breathing_Ratio),"-")</f>
        <v>6.9841269841269841E-3</v>
      </c>
      <c r="O50" s="27">
        <f t="shared" ref="O50:O58" si="68">IF(I50&lt;&gt;"-", I50*ED_8*G50*WY_high/AT_ADC_high*Breathing_Ratio,"-")</f>
        <v>0.74550368092442454</v>
      </c>
      <c r="P50" s="26">
        <f t="shared" ref="P50:P58" si="69">IF(J50&lt;&gt;"-", J50*ED_8*H50*WY_mid/AT_ADC_mid*Breathing_Ratio, "-")</f>
        <v>6.5231572080887154E-3</v>
      </c>
      <c r="Q50" s="27">
        <f t="shared" ref="Q50:Q58" si="70">IF(I50&lt;&gt;"-",I50*ED_8*G50*WY_high/AT_LADC*Breathing_Ratio,"-")</f>
        <v>0.38230957996124337</v>
      </c>
      <c r="R50" s="26">
        <f t="shared" ref="R50:R58" si="71">IF(J50&lt;&gt;"-",J50*ED_8*H50*WY_mid/AT_LADC*Breathing_Ratio,"-")</f>
        <v>2.5925368391121815E-3</v>
      </c>
      <c r="S50" s="28">
        <v>39</v>
      </c>
      <c r="T50" s="451" t="s">
        <v>490</v>
      </c>
    </row>
    <row r="51" spans="1:21" x14ac:dyDescent="0.2">
      <c r="A51" s="30" t="s">
        <v>472</v>
      </c>
      <c r="B51" s="22" t="s">
        <v>7</v>
      </c>
      <c r="C51" s="22" t="s">
        <v>7</v>
      </c>
      <c r="D51" s="32">
        <v>228</v>
      </c>
      <c r="E51" s="630"/>
      <c r="F51" s="631"/>
      <c r="G51" s="472">
        <v>250</v>
      </c>
      <c r="H51" s="473">
        <v>250</v>
      </c>
      <c r="I51" s="27">
        <v>4.5661979166666672E-3</v>
      </c>
      <c r="J51" s="187">
        <v>6.9401041666666667E-5</v>
      </c>
      <c r="K51" s="27">
        <f t="shared" si="64"/>
        <v>3.106257086167801E-3</v>
      </c>
      <c r="L51" s="26">
        <f t="shared" si="65"/>
        <v>4.721159297052154E-5</v>
      </c>
      <c r="M51" s="25">
        <f t="shared" si="66"/>
        <v>2.2779218631897207E-3</v>
      </c>
      <c r="N51" s="26">
        <f t="shared" si="67"/>
        <v>3.4621834845049136E-5</v>
      </c>
      <c r="O51" s="27">
        <f t="shared" si="68"/>
        <v>2.1275733466902744E-3</v>
      </c>
      <c r="P51" s="26">
        <f t="shared" si="69"/>
        <v>3.233670751405585E-5</v>
      </c>
      <c r="Q51" s="27">
        <f t="shared" si="70"/>
        <v>1.0910632547129612E-3</v>
      </c>
      <c r="R51" s="26">
        <f t="shared" si="71"/>
        <v>1.2851768370970914E-5</v>
      </c>
      <c r="S51" s="191">
        <v>26</v>
      </c>
      <c r="T51" s="452" t="s">
        <v>491</v>
      </c>
    </row>
    <row r="52" spans="1:21" x14ac:dyDescent="0.2">
      <c r="A52" s="30" t="s">
        <v>468</v>
      </c>
      <c r="B52" s="22" t="s">
        <v>7</v>
      </c>
      <c r="C52" s="22" t="s">
        <v>7</v>
      </c>
      <c r="D52" s="32">
        <v>228</v>
      </c>
      <c r="E52" s="630"/>
      <c r="F52" s="631"/>
      <c r="G52" s="472">
        <v>250</v>
      </c>
      <c r="H52" s="473">
        <v>250</v>
      </c>
      <c r="I52" s="27">
        <v>4.5661979166666672E-3</v>
      </c>
      <c r="J52" s="187">
        <v>6.9401041666666667E-5</v>
      </c>
      <c r="K52" s="27">
        <f t="shared" ref="K52:K55" si="72">IF(I52&lt;&gt;"-", I52*ED_8/AT*Breathing_Ratio,"-")</f>
        <v>3.106257086167801E-3</v>
      </c>
      <c r="L52" s="26">
        <f t="shared" ref="L52:L55" si="73">IF(J52&lt;&gt;"-", J52*ED_8/AT*Breathing_Ratio,"-")</f>
        <v>4.721159297052154E-5</v>
      </c>
      <c r="M52" s="25">
        <f t="shared" ref="M52:M55" si="74">IF(I52&lt;&gt;"-", IF(G52&gt;=EF_ST, I52*ED_8*EF_ST/AT_ADC_ST*Breathing_Ratio, I52*ED_8*G52/AT_ADC_ST*Breathing_Ratio),"-")</f>
        <v>2.2779218631897207E-3</v>
      </c>
      <c r="N52" s="26">
        <f t="shared" ref="N52:N55" si="75">IF(J52&lt;&gt;"-", IF(H52&gt;=EF_ST, J52*ED_8*EF_ST/AT_ADC_ST*Breathing_Ratio, J52*ED_8*H52/AT_ADC_ST*Breathing_Ratio),"-")</f>
        <v>3.4621834845049136E-5</v>
      </c>
      <c r="O52" s="27">
        <f t="shared" ref="O52:O55" si="76">IF(I52&lt;&gt;"-", I52*ED_8*G52*WY_high/AT_ADC_high*Breathing_Ratio,"-")</f>
        <v>2.1275733466902744E-3</v>
      </c>
      <c r="P52" s="26">
        <f t="shared" ref="P52:P55" si="77">IF(J52&lt;&gt;"-", J52*ED_8*H52*WY_mid/AT_ADC_mid*Breathing_Ratio, "-")</f>
        <v>3.233670751405585E-5</v>
      </c>
      <c r="Q52" s="27">
        <f t="shared" ref="Q52:Q55" si="78">IF(I52&lt;&gt;"-",I52*ED_8*G52*WY_high/AT_LADC*Breathing_Ratio,"-")</f>
        <v>1.0910632547129612E-3</v>
      </c>
      <c r="R52" s="26">
        <f t="shared" ref="R52:R55" si="79">IF(J52&lt;&gt;"-",J52*ED_8*H52*WY_mid/AT_LADC*Breathing_Ratio,"-")</f>
        <v>1.2851768370970914E-5</v>
      </c>
      <c r="S52" s="191">
        <v>26</v>
      </c>
      <c r="T52" s="452" t="s">
        <v>491</v>
      </c>
    </row>
    <row r="53" spans="1:21" x14ac:dyDescent="0.2">
      <c r="A53" s="30" t="s">
        <v>469</v>
      </c>
      <c r="B53" s="22" t="s">
        <v>7</v>
      </c>
      <c r="C53" s="22" t="s">
        <v>7</v>
      </c>
      <c r="D53" s="32">
        <v>228</v>
      </c>
      <c r="E53" s="630"/>
      <c r="F53" s="631"/>
      <c r="G53" s="472">
        <v>250</v>
      </c>
      <c r="H53" s="473">
        <v>250</v>
      </c>
      <c r="I53" s="27">
        <v>4.5661979166666672E-3</v>
      </c>
      <c r="J53" s="187">
        <v>6.9401041666666667E-5</v>
      </c>
      <c r="K53" s="27">
        <f t="shared" si="72"/>
        <v>3.106257086167801E-3</v>
      </c>
      <c r="L53" s="26">
        <f t="shared" si="73"/>
        <v>4.721159297052154E-5</v>
      </c>
      <c r="M53" s="25">
        <f t="shared" si="74"/>
        <v>2.2779218631897207E-3</v>
      </c>
      <c r="N53" s="26">
        <f t="shared" si="75"/>
        <v>3.4621834845049136E-5</v>
      </c>
      <c r="O53" s="27">
        <f t="shared" si="76"/>
        <v>2.1275733466902744E-3</v>
      </c>
      <c r="P53" s="26">
        <f t="shared" si="77"/>
        <v>3.233670751405585E-5</v>
      </c>
      <c r="Q53" s="27">
        <f t="shared" si="78"/>
        <v>1.0910632547129612E-3</v>
      </c>
      <c r="R53" s="26">
        <f t="shared" si="79"/>
        <v>1.2851768370970914E-5</v>
      </c>
      <c r="S53" s="191">
        <v>26</v>
      </c>
      <c r="T53" s="452" t="s">
        <v>491</v>
      </c>
    </row>
    <row r="54" spans="1:21" x14ac:dyDescent="0.2">
      <c r="A54" s="30" t="s">
        <v>470</v>
      </c>
      <c r="B54" s="22" t="s">
        <v>7</v>
      </c>
      <c r="C54" s="22" t="s">
        <v>7</v>
      </c>
      <c r="D54" s="32">
        <v>228</v>
      </c>
      <c r="E54" s="630"/>
      <c r="F54" s="631"/>
      <c r="G54" s="472">
        <v>250</v>
      </c>
      <c r="H54" s="473">
        <v>250</v>
      </c>
      <c r="I54" s="27">
        <v>4.5661979166666672E-3</v>
      </c>
      <c r="J54" s="187">
        <v>6.9401041666666667E-5</v>
      </c>
      <c r="K54" s="27">
        <f t="shared" si="72"/>
        <v>3.106257086167801E-3</v>
      </c>
      <c r="L54" s="26">
        <f t="shared" si="73"/>
        <v>4.721159297052154E-5</v>
      </c>
      <c r="M54" s="25">
        <f t="shared" si="74"/>
        <v>2.2779218631897207E-3</v>
      </c>
      <c r="N54" s="26">
        <f t="shared" si="75"/>
        <v>3.4621834845049136E-5</v>
      </c>
      <c r="O54" s="27">
        <f t="shared" si="76"/>
        <v>2.1275733466902744E-3</v>
      </c>
      <c r="P54" s="26">
        <f t="shared" si="77"/>
        <v>3.233670751405585E-5</v>
      </c>
      <c r="Q54" s="27">
        <f t="shared" si="78"/>
        <v>1.0910632547129612E-3</v>
      </c>
      <c r="R54" s="26">
        <f t="shared" si="79"/>
        <v>1.2851768370970914E-5</v>
      </c>
      <c r="S54" s="191">
        <v>26</v>
      </c>
      <c r="T54" s="452" t="s">
        <v>491</v>
      </c>
    </row>
    <row r="55" spans="1:21" x14ac:dyDescent="0.2">
      <c r="A55" s="30" t="s">
        <v>471</v>
      </c>
      <c r="B55" s="22" t="s">
        <v>7</v>
      </c>
      <c r="C55" s="22" t="s">
        <v>7</v>
      </c>
      <c r="D55" s="32">
        <v>228</v>
      </c>
      <c r="E55" s="630"/>
      <c r="F55" s="631"/>
      <c r="G55" s="472">
        <v>250</v>
      </c>
      <c r="H55" s="473">
        <v>250</v>
      </c>
      <c r="I55" s="27">
        <v>4.5661979166666672E-3</v>
      </c>
      <c r="J55" s="187">
        <v>6.9401041666666667E-5</v>
      </c>
      <c r="K55" s="27">
        <f t="shared" si="72"/>
        <v>3.106257086167801E-3</v>
      </c>
      <c r="L55" s="26">
        <f t="shared" si="73"/>
        <v>4.721159297052154E-5</v>
      </c>
      <c r="M55" s="25">
        <f t="shared" si="74"/>
        <v>2.2779218631897207E-3</v>
      </c>
      <c r="N55" s="26">
        <f t="shared" si="75"/>
        <v>3.4621834845049136E-5</v>
      </c>
      <c r="O55" s="27">
        <f t="shared" si="76"/>
        <v>2.1275733466902744E-3</v>
      </c>
      <c r="P55" s="26">
        <f t="shared" si="77"/>
        <v>3.233670751405585E-5</v>
      </c>
      <c r="Q55" s="27">
        <f t="shared" si="78"/>
        <v>1.0910632547129612E-3</v>
      </c>
      <c r="R55" s="26">
        <f t="shared" si="79"/>
        <v>1.2851768370970914E-5</v>
      </c>
      <c r="S55" s="191">
        <v>26</v>
      </c>
      <c r="T55" s="452" t="s">
        <v>491</v>
      </c>
    </row>
    <row r="56" spans="1:21" x14ac:dyDescent="0.2">
      <c r="A56" s="30" t="s">
        <v>1</v>
      </c>
      <c r="B56" s="31">
        <f>INDEX('Byproduct Conc_Inhalation'!$M$17:$M$22, MATCH(A56,'Byproduct Conc_Inhalation'!$C$17:$C$22, 0))</f>
        <v>0.33597514035064679</v>
      </c>
      <c r="C56" s="60">
        <f>INDEX('Byproduct Conc_Inhalation'!$N$17:$N$22, MATCH(A56,'Byproduct Conc_Inhalation'!$C$17:$C$22, 0))</f>
        <v>0.44572925936612706</v>
      </c>
      <c r="D56" s="32">
        <v>228</v>
      </c>
      <c r="E56" s="630"/>
      <c r="F56" s="631"/>
      <c r="G56" s="472">
        <v>250</v>
      </c>
      <c r="H56" s="473">
        <v>250</v>
      </c>
      <c r="I56" s="33">
        <f>I$20*($D56*$B56)/($D$20*$C56)</f>
        <v>3.485088626052149</v>
      </c>
      <c r="J56" s="93">
        <f t="shared" ref="I56:J58" si="80">J$20*($D56*$B56)/($D$20*$C56)</f>
        <v>3.0494525477956304E-2</v>
      </c>
      <c r="K56" s="27">
        <f t="shared" si="64"/>
        <v>2.3708085891511219</v>
      </c>
      <c r="L56" s="26">
        <f t="shared" si="65"/>
        <v>2.0744575155072317E-2</v>
      </c>
      <c r="M56" s="25">
        <f t="shared" si="66"/>
        <v>1.7385929653774894</v>
      </c>
      <c r="N56" s="26">
        <f t="shared" si="67"/>
        <v>1.5212688447053032E-2</v>
      </c>
      <c r="O56" s="27">
        <f t="shared" si="68"/>
        <v>1.6238414994185766</v>
      </c>
      <c r="P56" s="26">
        <f t="shared" si="69"/>
        <v>1.4208613119912545E-2</v>
      </c>
      <c r="Q56" s="27">
        <f t="shared" si="70"/>
        <v>0.8327392304710648</v>
      </c>
      <c r="R56" s="26">
        <f t="shared" si="71"/>
        <v>5.6470129066319092E-3</v>
      </c>
      <c r="S56" s="34" t="s">
        <v>25</v>
      </c>
      <c r="T56" s="453" t="s">
        <v>492</v>
      </c>
    </row>
    <row r="57" spans="1:21" x14ac:dyDescent="0.2">
      <c r="A57" s="30" t="s">
        <v>3</v>
      </c>
      <c r="B57" s="60">
        <f>INDEX('Byproduct Conc_Inhalation'!$M$17:$M$22, MATCH(A57,'Byproduct Conc_Inhalation'!$C$17:$C$22, 0))</f>
        <v>6.5977178596383062E-3</v>
      </c>
      <c r="C57" s="60">
        <f>INDEX('Byproduct Conc_Inhalation'!$N$17:$N$22, MATCH(A57,'Byproduct Conc_Inhalation'!$C$17:$C$22, 0))</f>
        <v>0.78060545866040765</v>
      </c>
      <c r="D57" s="32">
        <v>18.5</v>
      </c>
      <c r="E57" s="630"/>
      <c r="F57" s="631"/>
      <c r="G57" s="472">
        <v>250</v>
      </c>
      <c r="H57" s="473">
        <v>250</v>
      </c>
      <c r="I57" s="33">
        <f t="shared" si="80"/>
        <v>3.1708585120998572E-3</v>
      </c>
      <c r="J57" s="93">
        <f t="shared" si="80"/>
        <v>2.7745011980873748E-5</v>
      </c>
      <c r="K57" s="27">
        <f t="shared" si="64"/>
        <v>2.1570466068706511E-3</v>
      </c>
      <c r="L57" s="26">
        <f t="shared" si="65"/>
        <v>1.8874157810118196E-5</v>
      </c>
      <c r="M57" s="25">
        <f t="shared" si="66"/>
        <v>1.5818341783718109E-3</v>
      </c>
      <c r="N57" s="26">
        <f t="shared" si="67"/>
        <v>1.3841049060753342E-5</v>
      </c>
      <c r="O57" s="27">
        <f>IF(I57&lt;&gt;"-", I57*ED_8*G57*WY_high/AT_ADC_high,"-")</f>
        <v>7.2394029956617738E-4</v>
      </c>
      <c r="P57" s="26">
        <f>IF(J57&lt;&gt;"-", J57*ED_8*H57*WY_mid/AT_ADC_mid, "-")</f>
        <v>6.334477621204052E-6</v>
      </c>
      <c r="Q57" s="27">
        <f t="shared" si="70"/>
        <v>7.5765599117339334E-4</v>
      </c>
      <c r="R57" s="26">
        <f t="shared" si="71"/>
        <v>5.1378546901445734E-6</v>
      </c>
      <c r="S57" s="40" t="s">
        <v>25</v>
      </c>
      <c r="T57" s="453" t="s">
        <v>492</v>
      </c>
    </row>
    <row r="58" spans="1:21" ht="13.5" thickBot="1" x14ac:dyDescent="0.25">
      <c r="A58" s="42" t="s">
        <v>461</v>
      </c>
      <c r="B58" s="235">
        <f>INDEX('Byproduct Conc_Inhalation'!$M$17:$M$22, MATCH(A58,'Byproduct Conc_Inhalation'!$C$17:$C$22, 0))</f>
        <v>1.3036167741752387E-3</v>
      </c>
      <c r="C58" s="235">
        <f>INDEX('Byproduct Conc_Inhalation'!$N$17:$N$22, MATCH(A58,'Byproduct Conc_Inhalation'!$C$17:$C$22, 0))</f>
        <v>0.44572925936612706</v>
      </c>
      <c r="D58" s="44">
        <v>435</v>
      </c>
      <c r="E58" s="615"/>
      <c r="F58" s="617"/>
      <c r="G58" s="474">
        <v>250</v>
      </c>
      <c r="H58" s="475">
        <v>250</v>
      </c>
      <c r="I58" s="45">
        <f t="shared" si="80"/>
        <v>2.5799484755884908E-2</v>
      </c>
      <c r="J58" s="94">
        <f t="shared" si="80"/>
        <v>2.2574549161399294E-4</v>
      </c>
      <c r="K58" s="465">
        <f t="shared" si="64"/>
        <v>1.7550669901962523E-2</v>
      </c>
      <c r="L58" s="466">
        <f t="shared" si="65"/>
        <v>1.5356836164217208E-4</v>
      </c>
      <c r="M58" s="467">
        <f t="shared" si="66"/>
        <v>1.2870491261439184E-2</v>
      </c>
      <c r="N58" s="466">
        <f t="shared" si="67"/>
        <v>1.1261679853759286E-4</v>
      </c>
      <c r="O58" s="465">
        <f t="shared" si="68"/>
        <v>1.2021006782166112E-2</v>
      </c>
      <c r="P58" s="466">
        <f t="shared" si="69"/>
        <v>1.0518380934395347E-4</v>
      </c>
      <c r="Q58" s="465">
        <f t="shared" si="70"/>
        <v>6.1646188626492873E-3</v>
      </c>
      <c r="R58" s="466">
        <f t="shared" si="71"/>
        <v>4.1803821662340481E-5</v>
      </c>
      <c r="S58" s="47" t="s">
        <v>25</v>
      </c>
      <c r="T58" s="478" t="s">
        <v>492</v>
      </c>
    </row>
    <row r="61" spans="1:21" ht="15.75" x14ac:dyDescent="0.2">
      <c r="A61" s="281" t="s">
        <v>449</v>
      </c>
      <c r="B61" s="279"/>
      <c r="C61" s="279"/>
      <c r="D61" s="279"/>
      <c r="E61" s="280"/>
      <c r="F61" s="280"/>
      <c r="G61" s="280"/>
      <c r="H61" s="280"/>
      <c r="I61" s="280"/>
      <c r="J61" s="280"/>
      <c r="K61" s="280"/>
      <c r="L61" s="280"/>
      <c r="M61" s="280"/>
      <c r="N61" s="280"/>
      <c r="O61" s="280"/>
      <c r="P61" s="280"/>
      <c r="Q61" s="280"/>
      <c r="R61" s="280"/>
      <c r="S61" s="279"/>
      <c r="T61" s="280"/>
    </row>
    <row r="62" spans="1:21" ht="15.75" x14ac:dyDescent="0.2">
      <c r="A62" s="232"/>
    </row>
    <row r="63" spans="1:21" ht="13.5" thickBot="1" x14ac:dyDescent="0.25">
      <c r="A63" s="3" t="s">
        <v>448</v>
      </c>
    </row>
    <row r="64" spans="1:21" ht="12.95" customHeight="1" x14ac:dyDescent="0.2">
      <c r="A64" s="618" t="s">
        <v>22</v>
      </c>
      <c r="B64" s="618" t="s">
        <v>204</v>
      </c>
      <c r="C64" s="618" t="s">
        <v>488</v>
      </c>
      <c r="D64" s="621" t="s">
        <v>205</v>
      </c>
      <c r="E64" s="624" t="s">
        <v>85</v>
      </c>
      <c r="F64" s="6"/>
      <c r="G64" s="638" t="s">
        <v>206</v>
      </c>
      <c r="H64" s="639"/>
      <c r="I64" s="632" t="s">
        <v>207</v>
      </c>
      <c r="J64" s="633"/>
      <c r="K64" s="632" t="s">
        <v>208</v>
      </c>
      <c r="L64" s="633"/>
      <c r="M64" s="632" t="s">
        <v>88</v>
      </c>
      <c r="N64" s="633"/>
      <c r="O64" s="632" t="s">
        <v>89</v>
      </c>
      <c r="P64" s="633"/>
      <c r="Q64" s="632" t="s">
        <v>90</v>
      </c>
      <c r="R64" s="633"/>
      <c r="S64" s="7"/>
      <c r="T64" s="6"/>
      <c r="U64" s="3"/>
    </row>
    <row r="65" spans="1:32" x14ac:dyDescent="0.2">
      <c r="A65" s="619"/>
      <c r="B65" s="619"/>
      <c r="C65" s="619"/>
      <c r="D65" s="622"/>
      <c r="E65" s="625"/>
      <c r="F65" s="9"/>
      <c r="G65" s="634" t="s">
        <v>209</v>
      </c>
      <c r="H65" s="635"/>
      <c r="I65" s="636" t="s">
        <v>210</v>
      </c>
      <c r="J65" s="637"/>
      <c r="K65" s="636" t="s">
        <v>211</v>
      </c>
      <c r="L65" s="637"/>
      <c r="M65" s="636" t="s">
        <v>212</v>
      </c>
      <c r="N65" s="637"/>
      <c r="O65" s="636" t="s">
        <v>212</v>
      </c>
      <c r="P65" s="637"/>
      <c r="Q65" s="636" t="s">
        <v>213</v>
      </c>
      <c r="R65" s="637"/>
      <c r="S65" s="10"/>
      <c r="T65" s="9"/>
      <c r="V65" s="12"/>
      <c r="W65" s="12"/>
      <c r="X65" s="12"/>
      <c r="Y65" s="12"/>
      <c r="Z65" s="13"/>
      <c r="AA65" s="14"/>
      <c r="AC65" s="14"/>
      <c r="AD65" s="433"/>
      <c r="AE65" s="433"/>
      <c r="AF65" s="434"/>
    </row>
    <row r="66" spans="1:32" ht="26.25" thickBot="1" x14ac:dyDescent="0.25">
      <c r="A66" s="620"/>
      <c r="B66" s="620"/>
      <c r="C66" s="620"/>
      <c r="D66" s="623"/>
      <c r="E66" s="626"/>
      <c r="F66" s="15" t="s">
        <v>214</v>
      </c>
      <c r="G66" s="95" t="s">
        <v>103</v>
      </c>
      <c r="H66" s="91" t="s">
        <v>27</v>
      </c>
      <c r="I66" s="18" t="s">
        <v>103</v>
      </c>
      <c r="J66" s="91" t="s">
        <v>27</v>
      </c>
      <c r="K66" s="18" t="s">
        <v>103</v>
      </c>
      <c r="L66" s="19" t="s">
        <v>27</v>
      </c>
      <c r="M66" s="95" t="s">
        <v>103</v>
      </c>
      <c r="N66" s="19" t="s">
        <v>27</v>
      </c>
      <c r="O66" s="18" t="s">
        <v>103</v>
      </c>
      <c r="P66" s="19" t="s">
        <v>27</v>
      </c>
      <c r="Q66" s="18" t="s">
        <v>103</v>
      </c>
      <c r="R66" s="19" t="s">
        <v>27</v>
      </c>
      <c r="S66" s="20" t="s">
        <v>215</v>
      </c>
      <c r="T66" s="15" t="s">
        <v>216</v>
      </c>
      <c r="V66" s="12"/>
      <c r="W66" s="12"/>
      <c r="X66" s="12"/>
      <c r="Y66" s="12"/>
      <c r="Z66" s="13"/>
      <c r="AA66" s="12"/>
      <c r="AC66" s="12"/>
      <c r="AD66" s="433"/>
      <c r="AE66" s="433"/>
      <c r="AF66" s="434"/>
    </row>
    <row r="67" spans="1:32" s="391" customFormat="1" ht="25.5" x14ac:dyDescent="0.25">
      <c r="A67" s="484" t="s">
        <v>474</v>
      </c>
      <c r="B67" s="485" t="s">
        <v>444</v>
      </c>
      <c r="C67" s="486" t="s">
        <v>445</v>
      </c>
      <c r="D67" s="492">
        <v>73.72</v>
      </c>
      <c r="E67" s="627" t="s">
        <v>30</v>
      </c>
      <c r="F67" s="611" t="s">
        <v>217</v>
      </c>
      <c r="G67" s="487">
        <v>250</v>
      </c>
      <c r="H67" s="488">
        <v>250</v>
      </c>
      <c r="I67" s="493">
        <v>8.2999449678872808E-3</v>
      </c>
      <c r="J67" s="494">
        <v>1.9414283695222572E-3</v>
      </c>
      <c r="K67" s="27">
        <v>5.6462210665899869E-3</v>
      </c>
      <c r="L67" s="26">
        <v>1.3206995711035764E-3</v>
      </c>
      <c r="M67" s="25">
        <v>4.1405621154993241E-3</v>
      </c>
      <c r="N67" s="26">
        <v>9.6851301880928936E-4</v>
      </c>
      <c r="O67" s="27">
        <v>3.8672747031438274E-3</v>
      </c>
      <c r="P67" s="26">
        <v>9.0458874733121667E-4</v>
      </c>
      <c r="Q67" s="27">
        <v>9.7177672027716684E-4</v>
      </c>
      <c r="R67" s="26">
        <v>1.7616285989693821E-4</v>
      </c>
      <c r="S67" s="495" t="s">
        <v>25</v>
      </c>
      <c r="T67" s="452" t="s">
        <v>493</v>
      </c>
      <c r="V67" s="38"/>
      <c r="W67" s="38"/>
      <c r="X67" s="38"/>
      <c r="Y67" s="37"/>
      <c r="Z67" s="38"/>
    </row>
    <row r="68" spans="1:32" s="391" customFormat="1" ht="25.5" x14ac:dyDescent="0.25">
      <c r="A68" s="30" t="s">
        <v>475</v>
      </c>
      <c r="B68" s="439" t="s">
        <v>444</v>
      </c>
      <c r="C68" s="440" t="s">
        <v>445</v>
      </c>
      <c r="D68" s="446">
        <v>73.72</v>
      </c>
      <c r="E68" s="628"/>
      <c r="F68" s="612"/>
      <c r="G68" s="472">
        <v>250</v>
      </c>
      <c r="H68" s="473">
        <v>250</v>
      </c>
      <c r="I68" s="441">
        <v>2.399973311121917E-3</v>
      </c>
      <c r="J68" s="442">
        <v>5.3506415753674409E-4</v>
      </c>
      <c r="K68" s="27">
        <v>1.6326349055251137E-3</v>
      </c>
      <c r="L68" s="26">
        <v>3.6398922281411162E-4</v>
      </c>
      <c r="M68" s="25">
        <v>1.1972655973850833E-3</v>
      </c>
      <c r="N68" s="26">
        <v>2.6692543006368187E-4</v>
      </c>
      <c r="O68" s="27">
        <v>1.118243085976105E-3</v>
      </c>
      <c r="P68" s="26">
        <v>2.4930768685898054E-4</v>
      </c>
      <c r="Q68" s="27">
        <v>2.8099441647604691E-4</v>
      </c>
      <c r="R68" s="26">
        <v>4.8551073889588651E-5</v>
      </c>
      <c r="S68" s="449" t="s">
        <v>25</v>
      </c>
      <c r="T68" s="454" t="s">
        <v>493</v>
      </c>
      <c r="V68" s="38"/>
      <c r="W68" s="38"/>
      <c r="X68" s="38"/>
      <c r="Y68" s="37"/>
      <c r="Z68" s="38"/>
    </row>
    <row r="69" spans="1:32" s="391" customFormat="1" ht="25.5" x14ac:dyDescent="0.25">
      <c r="A69" s="30" t="s">
        <v>476</v>
      </c>
      <c r="B69" s="439" t="s">
        <v>444</v>
      </c>
      <c r="C69" s="440" t="s">
        <v>445</v>
      </c>
      <c r="D69" s="446">
        <v>73.72</v>
      </c>
      <c r="E69" s="628"/>
      <c r="F69" s="612"/>
      <c r="G69" s="472">
        <v>250</v>
      </c>
      <c r="H69" s="473">
        <v>250</v>
      </c>
      <c r="I69" s="441">
        <v>2.5120036627770747E-4</v>
      </c>
      <c r="J69" s="442">
        <v>5.9930340637844853E-5</v>
      </c>
      <c r="K69" s="27">
        <v>1.708846029100051E-4</v>
      </c>
      <c r="L69" s="26">
        <v>4.0768939209418266E-5</v>
      </c>
      <c r="M69" s="25">
        <v>1.2531537546733707E-4</v>
      </c>
      <c r="N69" s="26">
        <v>2.9897222086906732E-5</v>
      </c>
      <c r="O69" s="27">
        <v>1.1704424856849664E-4</v>
      </c>
      <c r="P69" s="26">
        <v>2.7923930965354977E-5</v>
      </c>
      <c r="Q69" s="27">
        <v>2.9411118871058132E-5</v>
      </c>
      <c r="R69" s="26">
        <v>5.4380065559454112E-6</v>
      </c>
      <c r="S69" s="449" t="s">
        <v>25</v>
      </c>
      <c r="T69" s="454" t="s">
        <v>493</v>
      </c>
      <c r="V69" s="38"/>
      <c r="W69" s="38"/>
      <c r="X69" s="38"/>
      <c r="Y69" s="37"/>
      <c r="Z69" s="38"/>
    </row>
    <row r="70" spans="1:32" s="391" customFormat="1" ht="25.5" x14ac:dyDescent="0.25">
      <c r="A70" s="30" t="s">
        <v>477</v>
      </c>
      <c r="B70" s="439" t="s">
        <v>444</v>
      </c>
      <c r="C70" s="440" t="s">
        <v>445</v>
      </c>
      <c r="D70" s="446">
        <v>73.72</v>
      </c>
      <c r="E70" s="628"/>
      <c r="F70" s="612"/>
      <c r="G70" s="472">
        <v>250</v>
      </c>
      <c r="H70" s="473">
        <v>250</v>
      </c>
      <c r="I70" s="441">
        <v>2.3172553116417669E-3</v>
      </c>
      <c r="J70" s="442">
        <v>5.1909831094316386E-4</v>
      </c>
      <c r="K70" s="27">
        <v>1.5763641575794332E-3</v>
      </c>
      <c r="L70" s="26">
        <v>3.5312810268242438E-4</v>
      </c>
      <c r="M70" s="25">
        <v>1.1560003822249179E-3</v>
      </c>
      <c r="N70" s="26">
        <v>2.589606086337779E-4</v>
      </c>
      <c r="O70" s="27">
        <v>1.0797014777941324E-3</v>
      </c>
      <c r="P70" s="26">
        <v>2.4186856348111258E-4</v>
      </c>
      <c r="Q70" s="27">
        <v>2.7130960211237169E-4</v>
      </c>
      <c r="R70" s="26">
        <v>4.7102352298437179E-5</v>
      </c>
      <c r="S70" s="449" t="s">
        <v>25</v>
      </c>
      <c r="T70" s="454" t="s">
        <v>493</v>
      </c>
      <c r="V70" s="38"/>
      <c r="W70" s="38"/>
      <c r="X70" s="38"/>
      <c r="Y70" s="37"/>
      <c r="Z70" s="38"/>
    </row>
    <row r="71" spans="1:32" ht="25.5" x14ac:dyDescent="0.2">
      <c r="A71" s="30" t="s">
        <v>478</v>
      </c>
      <c r="B71" s="445" t="s">
        <v>446</v>
      </c>
      <c r="C71" s="440" t="s">
        <v>447</v>
      </c>
      <c r="D71" s="438">
        <v>115</v>
      </c>
      <c r="E71" s="628"/>
      <c r="F71" s="612"/>
      <c r="G71" s="472">
        <v>250</v>
      </c>
      <c r="H71" s="473">
        <v>250</v>
      </c>
      <c r="I71" s="33">
        <v>1.437185378513083</v>
      </c>
      <c r="J71" s="93">
        <v>0.33135820161993446</v>
      </c>
      <c r="K71" s="27">
        <v>0.97767712824019259</v>
      </c>
      <c r="L71" s="26">
        <v>0.2254137425985949</v>
      </c>
      <c r="M71" s="25">
        <v>0.71696322737614127</v>
      </c>
      <c r="N71" s="26">
        <v>0.16530341123896958</v>
      </c>
      <c r="O71" s="27">
        <v>0.66964186865766606</v>
      </c>
      <c r="P71" s="26">
        <v>0.15439297438259925</v>
      </c>
      <c r="Q71" s="27">
        <v>0.34340608649111076</v>
      </c>
      <c r="R71" s="187">
        <v>6.1361310331545849E-2</v>
      </c>
      <c r="S71" s="437" t="s">
        <v>25</v>
      </c>
      <c r="T71" s="454" t="s">
        <v>494</v>
      </c>
      <c r="V71" s="38"/>
      <c r="W71" s="38"/>
      <c r="X71" s="38"/>
      <c r="Y71" s="37"/>
      <c r="Z71" s="38"/>
    </row>
    <row r="72" spans="1:32" ht="25.5" x14ac:dyDescent="0.2">
      <c r="A72" s="30" t="s">
        <v>479</v>
      </c>
      <c r="B72" s="445" t="s">
        <v>446</v>
      </c>
      <c r="C72" s="440" t="s">
        <v>447</v>
      </c>
      <c r="D72" s="438">
        <v>115</v>
      </c>
      <c r="E72" s="628"/>
      <c r="F72" s="612"/>
      <c r="G72" s="472">
        <v>250</v>
      </c>
      <c r="H72" s="473">
        <v>250</v>
      </c>
      <c r="I72" s="33">
        <v>0.417015118751486</v>
      </c>
      <c r="J72" s="93">
        <v>9.1045635396878891E-2</v>
      </c>
      <c r="K72" s="27">
        <v>0.28368375425271158</v>
      </c>
      <c r="L72" s="26">
        <v>6.1935806392434616E-2</v>
      </c>
      <c r="M72" s="25">
        <v>0.20803475311865516</v>
      </c>
      <c r="N72" s="26">
        <v>4.541959135445206E-2</v>
      </c>
      <c r="O72" s="27">
        <v>0.19430394126898051</v>
      </c>
      <c r="P72" s="26">
        <v>4.2421785200297685E-2</v>
      </c>
      <c r="Q72" s="27">
        <v>9.9643046804605395E-2</v>
      </c>
      <c r="R72" s="187">
        <v>1.6859940271913183E-2</v>
      </c>
      <c r="S72" s="437" t="s">
        <v>25</v>
      </c>
      <c r="T72" s="454" t="s">
        <v>494</v>
      </c>
      <c r="V72" s="38"/>
      <c r="W72" s="38"/>
      <c r="X72" s="38"/>
      <c r="Y72" s="37"/>
      <c r="Z72" s="38"/>
    </row>
    <row r="73" spans="1:32" ht="25.5" x14ac:dyDescent="0.2">
      <c r="A73" s="30" t="s">
        <v>480</v>
      </c>
      <c r="B73" s="445" t="s">
        <v>446</v>
      </c>
      <c r="C73" s="440" t="s">
        <v>447</v>
      </c>
      <c r="D73" s="438">
        <v>115</v>
      </c>
      <c r="E73" s="628"/>
      <c r="F73" s="612"/>
      <c r="G73" s="472">
        <v>250</v>
      </c>
      <c r="H73" s="473">
        <v>250</v>
      </c>
      <c r="I73" s="33">
        <v>4.3568698611165212E-2</v>
      </c>
      <c r="J73" s="93">
        <v>1.0252605842152188E-2</v>
      </c>
      <c r="K73" s="27">
        <v>2.9638570483785862E-2</v>
      </c>
      <c r="L73" s="26">
        <v>6.9745617973824411E-3</v>
      </c>
      <c r="M73" s="25">
        <v>2.1734951688109631E-2</v>
      </c>
      <c r="N73" s="26">
        <v>5.1146786514137902E-3</v>
      </c>
      <c r="O73" s="27">
        <v>2.0300390742319079E-2</v>
      </c>
      <c r="P73" s="26">
        <v>4.777097121494823E-3</v>
      </c>
      <c r="Q73" s="27">
        <v>1.0410456790932863E-2</v>
      </c>
      <c r="R73" s="187">
        <v>1.8985898816197373E-3</v>
      </c>
      <c r="S73" s="437" t="s">
        <v>25</v>
      </c>
      <c r="T73" s="454" t="s">
        <v>494</v>
      </c>
      <c r="V73" s="38"/>
      <c r="W73" s="38"/>
      <c r="X73" s="38"/>
      <c r="Y73" s="37"/>
      <c r="Z73" s="38"/>
    </row>
    <row r="74" spans="1:32" ht="26.25" thickBot="1" x14ac:dyDescent="0.25">
      <c r="A74" s="30" t="s">
        <v>481</v>
      </c>
      <c r="B74" s="463" t="s">
        <v>446</v>
      </c>
      <c r="C74" s="444" t="s">
        <v>447</v>
      </c>
      <c r="D74" s="443">
        <v>115</v>
      </c>
      <c r="E74" s="629"/>
      <c r="F74" s="613"/>
      <c r="G74" s="474">
        <v>250</v>
      </c>
      <c r="H74" s="475">
        <v>250</v>
      </c>
      <c r="I74" s="33">
        <v>0.40116183543314321</v>
      </c>
      <c r="J74" s="93">
        <v>8.9135592570936104E-2</v>
      </c>
      <c r="K74" s="27">
        <v>0.27289920777764848</v>
      </c>
      <c r="L74" s="26">
        <v>6.0636457531249049E-2</v>
      </c>
      <c r="M74" s="25">
        <v>0.20012608570360885</v>
      </c>
      <c r="N74" s="26">
        <v>4.4466735522915975E-2</v>
      </c>
      <c r="O74" s="27">
        <v>0.18691726560112906</v>
      </c>
      <c r="P74" s="26">
        <v>4.1531820226882905E-2</v>
      </c>
      <c r="Q74" s="27">
        <v>9.5855008000579001E-2</v>
      </c>
      <c r="R74" s="187">
        <v>1.6506236244017564E-2</v>
      </c>
      <c r="S74" s="437" t="s">
        <v>25</v>
      </c>
      <c r="T74" s="454" t="s">
        <v>494</v>
      </c>
      <c r="V74" s="38"/>
      <c r="W74" s="38"/>
      <c r="X74" s="38"/>
      <c r="Y74" s="37"/>
      <c r="Z74" s="38"/>
    </row>
    <row r="76" spans="1:32" ht="13.5" thickBot="1" x14ac:dyDescent="0.25">
      <c r="A76" s="3" t="s">
        <v>218</v>
      </c>
    </row>
    <row r="77" spans="1:32" ht="12.95" customHeight="1" x14ac:dyDescent="0.2">
      <c r="A77" s="618" t="s">
        <v>22</v>
      </c>
      <c r="B77" s="618" t="s">
        <v>204</v>
      </c>
      <c r="C77" s="618" t="s">
        <v>488</v>
      </c>
      <c r="D77" s="621" t="s">
        <v>205</v>
      </c>
      <c r="E77" s="624" t="s">
        <v>85</v>
      </c>
      <c r="F77" s="6"/>
      <c r="G77" s="638" t="s">
        <v>206</v>
      </c>
      <c r="H77" s="639"/>
      <c r="I77" s="632" t="s">
        <v>207</v>
      </c>
      <c r="J77" s="633"/>
      <c r="K77" s="632" t="s">
        <v>208</v>
      </c>
      <c r="L77" s="633"/>
      <c r="M77" s="632" t="s">
        <v>88</v>
      </c>
      <c r="N77" s="633"/>
      <c r="O77" s="632" t="s">
        <v>89</v>
      </c>
      <c r="P77" s="633"/>
      <c r="Q77" s="632" t="s">
        <v>90</v>
      </c>
      <c r="R77" s="633"/>
      <c r="S77" s="480"/>
      <c r="T77" s="482"/>
      <c r="U77" s="3"/>
    </row>
    <row r="78" spans="1:32" x14ac:dyDescent="0.2">
      <c r="A78" s="619"/>
      <c r="B78" s="619"/>
      <c r="C78" s="619"/>
      <c r="D78" s="622"/>
      <c r="E78" s="625"/>
      <c r="F78" s="9"/>
      <c r="G78" s="634" t="s">
        <v>209</v>
      </c>
      <c r="H78" s="635"/>
      <c r="I78" s="636" t="s">
        <v>210</v>
      </c>
      <c r="J78" s="637"/>
      <c r="K78" s="636" t="s">
        <v>211</v>
      </c>
      <c r="L78" s="637"/>
      <c r="M78" s="636" t="s">
        <v>212</v>
      </c>
      <c r="N78" s="637"/>
      <c r="O78" s="636" t="s">
        <v>212</v>
      </c>
      <c r="P78" s="637"/>
      <c r="Q78" s="636" t="s">
        <v>213</v>
      </c>
      <c r="R78" s="637"/>
      <c r="S78" s="481"/>
      <c r="T78" s="483"/>
      <c r="V78" s="12"/>
      <c r="W78" s="12"/>
      <c r="X78" s="12"/>
      <c r="Y78" s="12"/>
      <c r="Z78" s="13"/>
      <c r="AA78" s="14"/>
      <c r="AC78" s="14"/>
      <c r="AD78" s="433"/>
      <c r="AE78" s="433"/>
      <c r="AF78" s="434"/>
    </row>
    <row r="79" spans="1:32" ht="26.25" thickBot="1" x14ac:dyDescent="0.25">
      <c r="A79" s="620"/>
      <c r="B79" s="620"/>
      <c r="C79" s="620"/>
      <c r="D79" s="623"/>
      <c r="E79" s="626"/>
      <c r="F79" s="15" t="s">
        <v>214</v>
      </c>
      <c r="G79" s="95" t="s">
        <v>103</v>
      </c>
      <c r="H79" s="91" t="s">
        <v>27</v>
      </c>
      <c r="I79" s="18" t="s">
        <v>103</v>
      </c>
      <c r="J79" s="91" t="s">
        <v>27</v>
      </c>
      <c r="K79" s="18" t="s">
        <v>103</v>
      </c>
      <c r="L79" s="19" t="s">
        <v>27</v>
      </c>
      <c r="M79" s="95" t="s">
        <v>103</v>
      </c>
      <c r="N79" s="19" t="s">
        <v>27</v>
      </c>
      <c r="O79" s="18" t="s">
        <v>103</v>
      </c>
      <c r="P79" s="19" t="s">
        <v>27</v>
      </c>
      <c r="Q79" s="18" t="s">
        <v>103</v>
      </c>
      <c r="R79" s="19" t="s">
        <v>27</v>
      </c>
      <c r="S79" s="490" t="s">
        <v>215</v>
      </c>
      <c r="T79" s="491" t="s">
        <v>216</v>
      </c>
      <c r="V79" s="12"/>
      <c r="W79" s="12"/>
      <c r="X79" s="12"/>
      <c r="Y79" s="12"/>
      <c r="Z79" s="13"/>
      <c r="AA79" s="12"/>
      <c r="AC79" s="12"/>
      <c r="AD79" s="433"/>
      <c r="AE79" s="433"/>
      <c r="AF79" s="434"/>
    </row>
    <row r="80" spans="1:32" ht="25.5" x14ac:dyDescent="0.2">
      <c r="A80" s="484" t="s">
        <v>2</v>
      </c>
      <c r="B80" s="485" t="s">
        <v>444</v>
      </c>
      <c r="C80" s="486" t="s">
        <v>445</v>
      </c>
      <c r="D80" s="23">
        <v>73.72</v>
      </c>
      <c r="E80" s="614" t="s">
        <v>28</v>
      </c>
      <c r="F80" s="616" t="s">
        <v>217</v>
      </c>
      <c r="G80" s="487">
        <v>250</v>
      </c>
      <c r="H80" s="488">
        <v>250</v>
      </c>
      <c r="I80" s="27">
        <v>1.6219005447518585E-3</v>
      </c>
      <c r="J80" s="187">
        <v>3.5709853644700637E-4</v>
      </c>
      <c r="K80" s="27">
        <v>1.103333703912829E-3</v>
      </c>
      <c r="L80" s="26">
        <v>2.4292417445374582E-4</v>
      </c>
      <c r="M80" s="25">
        <v>8.0911138286940789E-4</v>
      </c>
      <c r="N80" s="26">
        <v>1.7814439459941359E-4</v>
      </c>
      <c r="O80" s="27">
        <v>7.5570801637865007E-4</v>
      </c>
      <c r="P80" s="26">
        <v>1.6638642085873E-4</v>
      </c>
      <c r="Q80" s="27">
        <v>1.8989586052591719E-4</v>
      </c>
      <c r="R80" s="26">
        <v>3.2402688882616782E-5</v>
      </c>
      <c r="S80" s="489" t="s">
        <v>25</v>
      </c>
      <c r="T80" s="452" t="s">
        <v>495</v>
      </c>
      <c r="V80" s="38"/>
      <c r="W80" s="38"/>
      <c r="X80" s="38"/>
      <c r="Y80" s="37"/>
      <c r="Z80" s="38"/>
    </row>
    <row r="81" spans="1:26" s="391" customFormat="1" ht="26.25" thickBot="1" x14ac:dyDescent="0.3">
      <c r="A81" s="42" t="s">
        <v>5</v>
      </c>
      <c r="B81" s="468" t="s">
        <v>444</v>
      </c>
      <c r="C81" s="444" t="s">
        <v>445</v>
      </c>
      <c r="D81" s="469">
        <v>115</v>
      </c>
      <c r="E81" s="615"/>
      <c r="F81" s="617"/>
      <c r="G81" s="474">
        <v>250</v>
      </c>
      <c r="H81" s="475">
        <v>250</v>
      </c>
      <c r="I81" s="188">
        <v>0.28046726481624995</v>
      </c>
      <c r="J81" s="464">
        <v>6.1314082626080742E-2</v>
      </c>
      <c r="K81" s="188">
        <v>0.19079405769812921</v>
      </c>
      <c r="L81" s="189">
        <v>4.1710260289850844E-2</v>
      </c>
      <c r="M81" s="190">
        <v>0.13991564231196144</v>
      </c>
      <c r="N81" s="189">
        <v>3.0587524212557289E-2</v>
      </c>
      <c r="O81" s="188">
        <v>0.13068086143707483</v>
      </c>
      <c r="P81" s="189">
        <v>2.8568671431404687E-2</v>
      </c>
      <c r="Q81" s="188">
        <v>6.7015826377987087E-2</v>
      </c>
      <c r="R81" s="189">
        <v>1.1354215568891607E-2</v>
      </c>
      <c r="S81" s="477" t="s">
        <v>25</v>
      </c>
      <c r="T81" s="455" t="s">
        <v>496</v>
      </c>
      <c r="V81" s="38"/>
      <c r="W81" s="38"/>
      <c r="X81" s="38"/>
      <c r="Y81" s="37"/>
      <c r="Z81" s="38"/>
    </row>
  </sheetData>
  <sheetProtection sheet="1" objects="1" scenarios="1" formatCells="0" formatColumns="0" formatRows="0"/>
  <autoFilter ref="A6:T14" xr:uid="{DF55C41C-CB75-4CC6-8CF8-B72C31F8B4B7}">
    <sortState xmlns:xlrd2="http://schemas.microsoft.com/office/spreadsheetml/2017/richdata2" ref="A9:X14">
      <sortCondition descending="1" ref="X6:X14"/>
    </sortState>
  </autoFilter>
  <mergeCells count="114">
    <mergeCell ref="M17:N17"/>
    <mergeCell ref="K18:L18"/>
    <mergeCell ref="K17:L17"/>
    <mergeCell ref="E4:E6"/>
    <mergeCell ref="G18:H18"/>
    <mergeCell ref="I18:J18"/>
    <mergeCell ref="M18:N18"/>
    <mergeCell ref="O18:P18"/>
    <mergeCell ref="Q18:R18"/>
    <mergeCell ref="Q4:R4"/>
    <mergeCell ref="G5:H5"/>
    <mergeCell ref="I5:J5"/>
    <mergeCell ref="M5:N5"/>
    <mergeCell ref="O5:P5"/>
    <mergeCell ref="Q5:R5"/>
    <mergeCell ref="O4:P4"/>
    <mergeCell ref="O17:P17"/>
    <mergeCell ref="Q17:R17"/>
    <mergeCell ref="M4:N4"/>
    <mergeCell ref="K4:L4"/>
    <mergeCell ref="K5:L5"/>
    <mergeCell ref="C34:C36"/>
    <mergeCell ref="D34:D36"/>
    <mergeCell ref="E34:E36"/>
    <mergeCell ref="G34:H34"/>
    <mergeCell ref="G35:H35"/>
    <mergeCell ref="B4:B6"/>
    <mergeCell ref="C4:C6"/>
    <mergeCell ref="G4:H4"/>
    <mergeCell ref="I4:J4"/>
    <mergeCell ref="I35:J35"/>
    <mergeCell ref="D4:D6"/>
    <mergeCell ref="G17:H17"/>
    <mergeCell ref="I17:J17"/>
    <mergeCell ref="K35:L35"/>
    <mergeCell ref="M35:N35"/>
    <mergeCell ref="O35:P35"/>
    <mergeCell ref="Q35:R35"/>
    <mergeCell ref="I34:J34"/>
    <mergeCell ref="K34:L34"/>
    <mergeCell ref="M34:N34"/>
    <mergeCell ref="O34:P34"/>
    <mergeCell ref="Q34:R34"/>
    <mergeCell ref="Q47:R47"/>
    <mergeCell ref="G48:H48"/>
    <mergeCell ref="I48:J48"/>
    <mergeCell ref="K48:L48"/>
    <mergeCell ref="M48:N48"/>
    <mergeCell ref="O48:P48"/>
    <mergeCell ref="Q48:R48"/>
    <mergeCell ref="G47:H47"/>
    <mergeCell ref="I47:J47"/>
    <mergeCell ref="K47:L47"/>
    <mergeCell ref="M47:N47"/>
    <mergeCell ref="O47:P47"/>
    <mergeCell ref="G78:H78"/>
    <mergeCell ref="I78:J78"/>
    <mergeCell ref="K78:L78"/>
    <mergeCell ref="M78:N78"/>
    <mergeCell ref="O78:P78"/>
    <mergeCell ref="Q78:R78"/>
    <mergeCell ref="G77:H77"/>
    <mergeCell ref="I77:J77"/>
    <mergeCell ref="K77:L77"/>
    <mergeCell ref="M77:N77"/>
    <mergeCell ref="O77:P77"/>
    <mergeCell ref="A17:A19"/>
    <mergeCell ref="B17:B19"/>
    <mergeCell ref="C17:C19"/>
    <mergeCell ref="D17:D19"/>
    <mergeCell ref="E17:E19"/>
    <mergeCell ref="E20:E28"/>
    <mergeCell ref="F20:F28"/>
    <mergeCell ref="A4:A6"/>
    <mergeCell ref="Q77:R77"/>
    <mergeCell ref="K64:L64"/>
    <mergeCell ref="M64:N64"/>
    <mergeCell ref="O64:P64"/>
    <mergeCell ref="Q64:R64"/>
    <mergeCell ref="G65:H65"/>
    <mergeCell ref="I65:J65"/>
    <mergeCell ref="K65:L65"/>
    <mergeCell ref="M65:N65"/>
    <mergeCell ref="O65:P65"/>
    <mergeCell ref="Q65:R65"/>
    <mergeCell ref="G64:H64"/>
    <mergeCell ref="I64:J64"/>
    <mergeCell ref="E7:E14"/>
    <mergeCell ref="F7:F14"/>
    <mergeCell ref="E64:E66"/>
    <mergeCell ref="F67:F74"/>
    <mergeCell ref="E80:E81"/>
    <mergeCell ref="F80:F81"/>
    <mergeCell ref="A77:A79"/>
    <mergeCell ref="B77:B79"/>
    <mergeCell ref="C77:C79"/>
    <mergeCell ref="D77:D79"/>
    <mergeCell ref="E77:E79"/>
    <mergeCell ref="A34:A36"/>
    <mergeCell ref="A47:A49"/>
    <mergeCell ref="D47:D49"/>
    <mergeCell ref="A64:A66"/>
    <mergeCell ref="B64:B66"/>
    <mergeCell ref="C64:C66"/>
    <mergeCell ref="D64:D66"/>
    <mergeCell ref="E67:E74"/>
    <mergeCell ref="E50:E58"/>
    <mergeCell ref="F50:F58"/>
    <mergeCell ref="E37:E44"/>
    <mergeCell ref="F37:F44"/>
    <mergeCell ref="B47:B49"/>
    <mergeCell ref="C47:C49"/>
    <mergeCell ref="E47:E49"/>
    <mergeCell ref="B34:B36"/>
  </mergeCells>
  <conditionalFormatting sqref="I9:J12 J20:L26 I26:J26 I27:L28 K37:L44 O37:R44 I39:J44 J50:L58 O50:R58 I56:J58 K80:L80">
    <cfRule type="cellIs" dxfId="53" priority="197" operator="greaterThanOrEqual">
      <formula>1</formula>
    </cfRule>
    <cfRule type="cellIs" dxfId="52" priority="196" operator="between">
      <formula>0.01</formula>
      <formula>1</formula>
    </cfRule>
    <cfRule type="cellIs" dxfId="51" priority="195" operator="lessThan">
      <formula>0.01</formula>
    </cfRule>
  </conditionalFormatting>
  <conditionalFormatting sqref="I67:J70">
    <cfRule type="cellIs" dxfId="50" priority="43" operator="greaterThanOrEqual">
      <formula>1</formula>
    </cfRule>
    <cfRule type="cellIs" dxfId="49" priority="42" operator="between">
      <formula>0.01</formula>
      <formula>1</formula>
    </cfRule>
    <cfRule type="cellIs" dxfId="48" priority="41" operator="lessThan">
      <formula>0.01</formula>
    </cfRule>
  </conditionalFormatting>
  <conditionalFormatting sqref="I80:J80">
    <cfRule type="cellIs" dxfId="47" priority="35" operator="greaterThanOrEqual">
      <formula>1</formula>
    </cfRule>
    <cfRule type="cellIs" dxfId="46" priority="33" operator="lessThan">
      <formula>0.01</formula>
    </cfRule>
    <cfRule type="cellIs" dxfId="45" priority="34" operator="between">
      <formula>0.01</formula>
      <formula>1</formula>
    </cfRule>
  </conditionalFormatting>
  <conditionalFormatting sqref="I71:L74 O71:R74">
    <cfRule type="cellIs" dxfId="44" priority="11" operator="greaterThanOrEqual">
      <formula>1</formula>
    </cfRule>
    <cfRule type="cellIs" dxfId="43" priority="9" operator="lessThan">
      <formula>0.01</formula>
    </cfRule>
    <cfRule type="cellIs" dxfId="42" priority="10" operator="between">
      <formula>0.01</formula>
      <formula>1</formula>
    </cfRule>
  </conditionalFormatting>
  <conditionalFormatting sqref="I81:L81 O81:R81">
    <cfRule type="cellIs" dxfId="41" priority="2" operator="between">
      <formula>0.01</formula>
      <formula>1</formula>
    </cfRule>
    <cfRule type="cellIs" dxfId="40" priority="3" operator="greaterThanOrEqual">
      <formula>1</formula>
    </cfRule>
    <cfRule type="cellIs" dxfId="39" priority="1" operator="lessThan">
      <formula>0.01</formula>
    </cfRule>
  </conditionalFormatting>
  <conditionalFormatting sqref="I7:R8 K9:R11 I9:J12 I12:R14 I20:R28 I37:R44 I50:R58">
    <cfRule type="expression" dxfId="38" priority="164">
      <formula>"&gt;=10000"</formula>
    </cfRule>
    <cfRule type="cellIs" dxfId="37" priority="163" operator="between">
      <formula>10</formula>
      <formula>9999.999</formula>
    </cfRule>
    <cfRule type="cellIs" dxfId="36" priority="162" operator="between">
      <formula>1</formula>
      <formula>9.999</formula>
    </cfRule>
  </conditionalFormatting>
  <conditionalFormatting sqref="I37:R44 I7:R8 K9:R11 I9:J12 I12:R14 I20:R28 I50:R58">
    <cfRule type="cellIs" dxfId="35" priority="161" operator="between">
      <formula>0.1</formula>
      <formula>0.999</formula>
    </cfRule>
    <cfRule type="cellIs" dxfId="34" priority="160" operator="lessThan">
      <formula>0.1</formula>
    </cfRule>
  </conditionalFormatting>
  <conditionalFormatting sqref="I67:R70">
    <cfRule type="cellIs" dxfId="33" priority="44" operator="lessThan">
      <formula>0.1</formula>
    </cfRule>
    <cfRule type="cellIs" dxfId="32" priority="46" operator="between">
      <formula>1</formula>
      <formula>9.999</formula>
    </cfRule>
    <cfRule type="cellIs" dxfId="31" priority="47" operator="between">
      <formula>10</formula>
      <formula>9999.999</formula>
    </cfRule>
    <cfRule type="expression" dxfId="30" priority="48">
      <formula>"&gt;=10000"</formula>
    </cfRule>
    <cfRule type="cellIs" dxfId="29" priority="45" operator="between">
      <formula>0.1</formula>
      <formula>0.999</formula>
    </cfRule>
  </conditionalFormatting>
  <conditionalFormatting sqref="I71:R74">
    <cfRule type="expression" dxfId="28" priority="16">
      <formula>"&gt;=10000"</formula>
    </cfRule>
    <cfRule type="cellIs" dxfId="27" priority="15" operator="between">
      <formula>10</formula>
      <formula>9999.999</formula>
    </cfRule>
    <cfRule type="cellIs" dxfId="26" priority="14" operator="between">
      <formula>1</formula>
      <formula>9.999</formula>
    </cfRule>
    <cfRule type="cellIs" dxfId="25" priority="13" operator="between">
      <formula>0.1</formula>
      <formula>0.999</formula>
    </cfRule>
    <cfRule type="cellIs" dxfId="24" priority="12" operator="lessThan">
      <formula>0.1</formula>
    </cfRule>
  </conditionalFormatting>
  <conditionalFormatting sqref="I80:R80">
    <cfRule type="cellIs" dxfId="23" priority="38" operator="between">
      <formula>1</formula>
      <formula>9.999</formula>
    </cfRule>
    <cfRule type="cellIs" dxfId="22" priority="37" operator="between">
      <formula>0.1</formula>
      <formula>0.999</formula>
    </cfRule>
    <cfRule type="expression" dxfId="21" priority="40">
      <formula>"&gt;=10000"</formula>
    </cfRule>
    <cfRule type="cellIs" dxfId="20" priority="36" operator="lessThan">
      <formula>0.1</formula>
    </cfRule>
    <cfRule type="cellIs" dxfId="19" priority="39" operator="between">
      <formula>10</formula>
      <formula>9999.999</formula>
    </cfRule>
  </conditionalFormatting>
  <conditionalFormatting sqref="I81:R81">
    <cfRule type="cellIs" dxfId="18" priority="4" operator="lessThan">
      <formula>0.1</formula>
    </cfRule>
    <cfRule type="cellIs" dxfId="17" priority="5" operator="between">
      <formula>0.1</formula>
      <formula>0.999</formula>
    </cfRule>
    <cfRule type="cellIs" dxfId="16" priority="7" operator="between">
      <formula>10</formula>
      <formula>9999.999</formula>
    </cfRule>
    <cfRule type="expression" dxfId="15" priority="8">
      <formula>"&gt;=10000"</formula>
    </cfRule>
    <cfRule type="cellIs" dxfId="14" priority="6" operator="between">
      <formula>1</formula>
      <formula>9.999</formula>
    </cfRule>
  </conditionalFormatting>
  <conditionalFormatting sqref="J7:J8 K7:L12 O7:R14 I13:L14 O20:R28 K67:L70 O67:R70 O80:R80">
    <cfRule type="cellIs" dxfId="13" priority="166" operator="between">
      <formula>0.01</formula>
      <formula>1</formula>
    </cfRule>
    <cfRule type="cellIs" dxfId="12" priority="167" operator="greaterThanOrEqual">
      <formula>1</formula>
    </cfRule>
    <cfRule type="cellIs" dxfId="11" priority="165" operator="lessThan">
      <formula>0.01</formula>
    </cfRule>
  </conditionalFormatting>
  <conditionalFormatting sqref="J37:J38">
    <cfRule type="cellIs" dxfId="10" priority="54" operator="lessThan">
      <formula>0.01</formula>
    </cfRule>
    <cfRule type="cellIs" dxfId="9" priority="55" operator="between">
      <formula>0.01</formula>
      <formula>1</formula>
    </cfRule>
    <cfRule type="cellIs" dxfId="8" priority="56" operator="greaterThanOrEqual">
      <formula>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03570-8FB7-48B7-924F-D836CFAA750E}">
  <sheetPr codeName="Sheet25">
    <tabColor theme="9"/>
  </sheetPr>
  <dimension ref="A1:T34"/>
  <sheetViews>
    <sheetView topLeftCell="A29" zoomScale="80" zoomScaleNormal="80" workbookViewId="0">
      <selection activeCell="J5" sqref="J5"/>
    </sheetView>
  </sheetViews>
  <sheetFormatPr defaultColWidth="9.140625" defaultRowHeight="12.75" x14ac:dyDescent="0.2"/>
  <cols>
    <col min="1" max="1" width="47.85546875" style="5" customWidth="1"/>
    <col min="2" max="2" width="12.28515625" style="5" customWidth="1"/>
    <col min="3" max="3" width="20.140625" style="5" customWidth="1"/>
    <col min="4" max="4" width="18.42578125" style="5" bestFit="1" customWidth="1"/>
    <col min="5" max="5" width="17.5703125" style="5" bestFit="1" customWidth="1"/>
    <col min="6" max="6" width="18.42578125" style="5" bestFit="1" customWidth="1"/>
    <col min="7" max="7" width="17.5703125" style="5" bestFit="1" customWidth="1"/>
    <col min="8" max="8" width="21.140625" style="5" bestFit="1" customWidth="1"/>
    <col min="9" max="9" width="13.85546875" style="5" bestFit="1" customWidth="1"/>
    <col min="10" max="11" width="16.28515625" style="5" customWidth="1"/>
    <col min="12" max="19" width="16.28515625" style="65" customWidth="1"/>
    <col min="20" max="20" width="123.7109375" style="5" bestFit="1" customWidth="1"/>
    <col min="21" max="16384" width="9.140625" style="5"/>
  </cols>
  <sheetData>
    <row r="1" spans="1:20" ht="16.5" thickBot="1" x14ac:dyDescent="0.3">
      <c r="A1" s="278" t="s">
        <v>467</v>
      </c>
      <c r="B1" s="279"/>
      <c r="C1" s="279"/>
      <c r="D1" s="279"/>
      <c r="E1" s="280"/>
      <c r="F1" s="280"/>
      <c r="G1" s="280"/>
      <c r="H1" s="280"/>
      <c r="I1" s="280"/>
      <c r="J1" s="280"/>
      <c r="K1" s="280"/>
      <c r="L1" s="280"/>
      <c r="M1" s="280"/>
      <c r="N1" s="280"/>
      <c r="O1" s="280"/>
      <c r="P1" s="280"/>
      <c r="Q1" s="280"/>
      <c r="R1" s="280"/>
      <c r="S1" s="279"/>
      <c r="T1" s="280"/>
    </row>
    <row r="2" spans="1:20" ht="13.5" thickBot="1" x14ac:dyDescent="0.25">
      <c r="A2" s="525"/>
      <c r="B2" s="526"/>
      <c r="C2" s="640" t="s">
        <v>220</v>
      </c>
      <c r="D2" s="641"/>
      <c r="E2" s="641"/>
      <c r="F2" s="641"/>
      <c r="G2" s="641"/>
      <c r="H2" s="641"/>
      <c r="I2" s="642"/>
      <c r="J2" s="643" t="s">
        <v>221</v>
      </c>
      <c r="K2" s="644"/>
      <c r="L2" s="644"/>
      <c r="M2" s="644"/>
      <c r="N2" s="645"/>
      <c r="O2" s="643" t="s">
        <v>222</v>
      </c>
      <c r="P2" s="644"/>
      <c r="Q2" s="644"/>
      <c r="R2" s="644"/>
      <c r="S2" s="645"/>
      <c r="T2" s="646" t="s">
        <v>223</v>
      </c>
    </row>
    <row r="3" spans="1:20" ht="51.95" customHeight="1" x14ac:dyDescent="0.2">
      <c r="A3" s="650" t="s">
        <v>22</v>
      </c>
      <c r="B3" s="650" t="s">
        <v>205</v>
      </c>
      <c r="C3" s="650" t="s">
        <v>489</v>
      </c>
      <c r="D3" s="652" t="s">
        <v>224</v>
      </c>
      <c r="E3" s="653"/>
      <c r="F3" s="652" t="s">
        <v>27</v>
      </c>
      <c r="G3" s="653"/>
      <c r="H3" s="654" t="s">
        <v>225</v>
      </c>
      <c r="I3" s="654" t="s">
        <v>226</v>
      </c>
      <c r="J3" s="48" t="s">
        <v>227</v>
      </c>
      <c r="K3" s="49" t="s">
        <v>92</v>
      </c>
      <c r="L3" s="49" t="s">
        <v>93</v>
      </c>
      <c r="M3" s="49" t="s">
        <v>94</v>
      </c>
      <c r="N3" s="50" t="s">
        <v>95</v>
      </c>
      <c r="O3" s="48" t="s">
        <v>227</v>
      </c>
      <c r="P3" s="49" t="s">
        <v>92</v>
      </c>
      <c r="Q3" s="49" t="s">
        <v>93</v>
      </c>
      <c r="R3" s="49" t="s">
        <v>94</v>
      </c>
      <c r="S3" s="50" t="s">
        <v>95</v>
      </c>
      <c r="T3" s="647"/>
    </row>
    <row r="4" spans="1:20" ht="15.75" thickBot="1" x14ac:dyDescent="0.25">
      <c r="A4" s="651"/>
      <c r="B4" s="659"/>
      <c r="C4" s="651"/>
      <c r="D4" s="51" t="s">
        <v>228</v>
      </c>
      <c r="E4" s="52" t="s">
        <v>229</v>
      </c>
      <c r="F4" s="51" t="s">
        <v>228</v>
      </c>
      <c r="G4" s="52" t="s">
        <v>229</v>
      </c>
      <c r="H4" s="655"/>
      <c r="I4" s="656"/>
      <c r="J4" s="423" t="s">
        <v>230</v>
      </c>
      <c r="K4" s="53" t="s">
        <v>231</v>
      </c>
      <c r="L4" s="53" t="s">
        <v>500</v>
      </c>
      <c r="M4" s="53" t="s">
        <v>232</v>
      </c>
      <c r="N4" s="424" t="s">
        <v>233</v>
      </c>
      <c r="O4" s="423" t="s">
        <v>230</v>
      </c>
      <c r="P4" s="53" t="s">
        <v>231</v>
      </c>
      <c r="Q4" s="53" t="s">
        <v>500</v>
      </c>
      <c r="R4" s="53" t="s">
        <v>232</v>
      </c>
      <c r="S4" s="424" t="s">
        <v>233</v>
      </c>
      <c r="T4" s="647"/>
    </row>
    <row r="5" spans="1:20" x14ac:dyDescent="0.2">
      <c r="A5" s="460" t="s">
        <v>0</v>
      </c>
      <c r="B5" s="402">
        <v>78.900000000000006</v>
      </c>
      <c r="C5" s="275">
        <v>0.98939999999999995</v>
      </c>
      <c r="D5" s="54">
        <v>2.1</v>
      </c>
      <c r="E5" s="55">
        <v>1070</v>
      </c>
      <c r="F5" s="54">
        <v>1.4</v>
      </c>
      <c r="G5" s="55">
        <v>535</v>
      </c>
      <c r="H5" s="432">
        <v>3.0000000000000001E-3</v>
      </c>
      <c r="I5" s="496">
        <v>250</v>
      </c>
      <c r="J5" s="506">
        <f>$D5*$E5*$C5*$H5</f>
        <v>6.6695453999999996</v>
      </c>
      <c r="K5" s="507">
        <f t="shared" ref="K5" si="0">J5/BW_default</f>
        <v>8.3369317499999998E-2</v>
      </c>
      <c r="L5" s="507">
        <f t="shared" ref="L5:L13" si="1">IF($I5 &gt;=EF_ST,(K5*EF_ST)/(AT_CRD_ST), (K5*$I5)/(AT_CRD_ST))</f>
        <v>6.1137499499999998E-2</v>
      </c>
      <c r="M5" s="507">
        <f t="shared" ref="M5" si="2">(K5*$I5*_xlfn.SINGLE(WY_HE_default))/(AT_CRD_high)</f>
        <v>5.7102272260273965E-2</v>
      </c>
      <c r="N5" s="512">
        <f t="shared" ref="N5" si="3">(K5*$I5*_xlfn.SINGLE(WY_HE_default))/(AT_LCRD)</f>
        <v>2.9283216543730239E-2</v>
      </c>
      <c r="O5" s="506">
        <f>$F5*$G5*$C5*$H5</f>
        <v>2.2231817999999999</v>
      </c>
      <c r="P5" s="507">
        <f t="shared" ref="P5" si="4">O5/BW_default</f>
        <v>2.7789772499999997E-2</v>
      </c>
      <c r="Q5" s="507">
        <f t="shared" ref="Q5:Q13" si="5">IF($I5 &gt;=EF_ST,(P5*EF_ST)/(AT_CRD_ST), (P5*$I5)/(AT_CRD_ST))</f>
        <v>2.0379166499999997E-2</v>
      </c>
      <c r="R5" s="507">
        <f t="shared" ref="R5" si="6">(P5*$I5*_xlfn.SINGLE(WY_CT_default))/(AT_CRD_mid)</f>
        <v>1.9034090753424656E-2</v>
      </c>
      <c r="S5" s="512">
        <f t="shared" ref="S5" si="7">(P5*$I5*_xlfn.SINGLE(WY_CT_default))/(AT_LCRD)</f>
        <v>7.5648309404636451E-3</v>
      </c>
      <c r="T5" s="113" t="s">
        <v>498</v>
      </c>
    </row>
    <row r="6" spans="1:20" x14ac:dyDescent="0.2">
      <c r="A6" s="21" t="s">
        <v>473</v>
      </c>
      <c r="B6" s="400">
        <v>228</v>
      </c>
      <c r="C6" s="41">
        <v>2.9099999999999998E-3</v>
      </c>
      <c r="D6" s="56">
        <v>2.1</v>
      </c>
      <c r="E6" s="57">
        <v>1070</v>
      </c>
      <c r="F6" s="56">
        <v>1.4</v>
      </c>
      <c r="G6" s="57">
        <v>535</v>
      </c>
      <c r="H6" s="99">
        <v>3.0000000000000001E-3</v>
      </c>
      <c r="I6" s="497">
        <v>250</v>
      </c>
      <c r="J6" s="33">
        <f>$D6*$E6*$C6*$H6</f>
        <v>1.9616309999999998E-2</v>
      </c>
      <c r="K6" s="405">
        <f>J6/BW_default</f>
        <v>2.4520387499999996E-4</v>
      </c>
      <c r="L6" s="405">
        <f>IF($I6 &gt;=EF_ST,(K6*EF_ST)/(AT_CRD_ST), (K6*$I6)/(AT_CRD_ST))</f>
        <v>1.7981617499999997E-4</v>
      </c>
      <c r="M6" s="405">
        <f>(K6*$I6*_xlfn.SINGLE(WY_HE_default))/(AT_CRD_high)</f>
        <v>1.6794785958904108E-4</v>
      </c>
      <c r="N6" s="406">
        <f>(K6*$I6*_xlfn.SINGLE(WY_HE_default))/(AT_LCRD)</f>
        <v>8.6127107481559525E-5</v>
      </c>
      <c r="O6" s="33">
        <f>$F6*$G6*$C6*$H6</f>
        <v>6.5387699999999993E-3</v>
      </c>
      <c r="P6" s="405">
        <f t="shared" ref="P6" si="8">O6/BW_default</f>
        <v>8.1734624999999997E-5</v>
      </c>
      <c r="Q6" s="405">
        <f t="shared" si="5"/>
        <v>5.9938724999999998E-5</v>
      </c>
      <c r="R6" s="405">
        <f t="shared" ref="R6" si="9">(P6*$I6*_xlfn.SINGLE(WY_CT_default))/(AT_CRD_mid)</f>
        <v>5.5982619863013688E-5</v>
      </c>
      <c r="S6" s="406">
        <f t="shared" ref="S6" si="10">(P6*$I6*_xlfn.SINGLE(WY_CT_default))/(AT_LCRD)</f>
        <v>2.2249502766069543E-5</v>
      </c>
      <c r="T6" s="113" t="s">
        <v>499</v>
      </c>
    </row>
    <row r="7" spans="1:20" x14ac:dyDescent="0.2">
      <c r="A7" s="30" t="s">
        <v>468</v>
      </c>
      <c r="B7" s="400">
        <v>228</v>
      </c>
      <c r="C7" s="41">
        <v>2.9099999999999998E-3</v>
      </c>
      <c r="D7" s="56">
        <v>2.1</v>
      </c>
      <c r="E7" s="57">
        <v>1070</v>
      </c>
      <c r="F7" s="56">
        <v>1.4</v>
      </c>
      <c r="G7" s="57">
        <v>535</v>
      </c>
      <c r="H7" s="99">
        <v>3.0000000000000001E-3</v>
      </c>
      <c r="I7" s="59">
        <v>250</v>
      </c>
      <c r="J7" s="33">
        <f t="shared" ref="J7:J10" si="11">$D7*$E7*$C7*$H7</f>
        <v>1.9616309999999998E-2</v>
      </c>
      <c r="K7" s="405">
        <f t="shared" ref="K7:K10" si="12">J7/BW_default</f>
        <v>2.4520387499999996E-4</v>
      </c>
      <c r="L7" s="405">
        <f t="shared" si="1"/>
        <v>1.7981617499999997E-4</v>
      </c>
      <c r="M7" s="405">
        <f t="shared" ref="M7:M10" si="13">(K7*$I7*_xlfn.SINGLE(WY_HE_default))/(AT_CRD_high)</f>
        <v>1.6794785958904108E-4</v>
      </c>
      <c r="N7" s="406">
        <f t="shared" ref="N7:N10" si="14">(K7*$I7*_xlfn.SINGLE(WY_HE_default))/(AT_LCRD)</f>
        <v>8.6127107481559525E-5</v>
      </c>
      <c r="O7" s="33">
        <f t="shared" ref="O7:O10" si="15">$F7*$G7*$C7*$H7</f>
        <v>6.5387699999999993E-3</v>
      </c>
      <c r="P7" s="405">
        <f t="shared" ref="P7:P10" si="16">O7/BW_default</f>
        <v>8.1734624999999997E-5</v>
      </c>
      <c r="Q7" s="405">
        <f t="shared" si="5"/>
        <v>5.9938724999999998E-5</v>
      </c>
      <c r="R7" s="405">
        <f t="shared" ref="R7:R10" si="17">(P7*$I7*_xlfn.SINGLE(WY_CT_default))/(AT_CRD_mid)</f>
        <v>5.5982619863013688E-5</v>
      </c>
      <c r="S7" s="406">
        <f t="shared" ref="S7:S10" si="18">(P7*$I7*_xlfn.SINGLE(WY_CT_default))/(AT_LCRD)</f>
        <v>2.2249502766069543E-5</v>
      </c>
      <c r="T7" s="113" t="s">
        <v>499</v>
      </c>
    </row>
    <row r="8" spans="1:20" x14ac:dyDescent="0.2">
      <c r="A8" s="30" t="s">
        <v>469</v>
      </c>
      <c r="B8" s="400">
        <v>228</v>
      </c>
      <c r="C8" s="41">
        <v>2.9099999999999998E-3</v>
      </c>
      <c r="D8" s="56">
        <v>2.1</v>
      </c>
      <c r="E8" s="57">
        <v>1070</v>
      </c>
      <c r="F8" s="56">
        <v>1.4</v>
      </c>
      <c r="G8" s="57">
        <v>535</v>
      </c>
      <c r="H8" s="99">
        <v>3.0000000000000001E-3</v>
      </c>
      <c r="I8" s="59">
        <v>250</v>
      </c>
      <c r="J8" s="33">
        <f t="shared" si="11"/>
        <v>1.9616309999999998E-2</v>
      </c>
      <c r="K8" s="405">
        <f t="shared" si="12"/>
        <v>2.4520387499999996E-4</v>
      </c>
      <c r="L8" s="405">
        <f t="shared" si="1"/>
        <v>1.7981617499999997E-4</v>
      </c>
      <c r="M8" s="405">
        <f t="shared" si="13"/>
        <v>1.6794785958904108E-4</v>
      </c>
      <c r="N8" s="406">
        <f t="shared" si="14"/>
        <v>8.6127107481559525E-5</v>
      </c>
      <c r="O8" s="33">
        <f t="shared" si="15"/>
        <v>6.5387699999999993E-3</v>
      </c>
      <c r="P8" s="405">
        <f t="shared" si="16"/>
        <v>8.1734624999999997E-5</v>
      </c>
      <c r="Q8" s="405">
        <f t="shared" si="5"/>
        <v>5.9938724999999998E-5</v>
      </c>
      <c r="R8" s="405">
        <f t="shared" si="17"/>
        <v>5.5982619863013688E-5</v>
      </c>
      <c r="S8" s="406">
        <f t="shared" si="18"/>
        <v>2.2249502766069543E-5</v>
      </c>
      <c r="T8" s="113" t="s">
        <v>499</v>
      </c>
    </row>
    <row r="9" spans="1:20" x14ac:dyDescent="0.2">
      <c r="A9" s="30" t="s">
        <v>470</v>
      </c>
      <c r="B9" s="400">
        <v>228</v>
      </c>
      <c r="C9" s="41">
        <v>2.9099999999999998E-3</v>
      </c>
      <c r="D9" s="56">
        <v>2.1</v>
      </c>
      <c r="E9" s="57">
        <v>1070</v>
      </c>
      <c r="F9" s="56">
        <v>1.4</v>
      </c>
      <c r="G9" s="57">
        <v>535</v>
      </c>
      <c r="H9" s="99">
        <v>3.0000000000000001E-3</v>
      </c>
      <c r="I9" s="59">
        <v>250</v>
      </c>
      <c r="J9" s="33">
        <f t="shared" si="11"/>
        <v>1.9616309999999998E-2</v>
      </c>
      <c r="K9" s="405">
        <f t="shared" si="12"/>
        <v>2.4520387499999996E-4</v>
      </c>
      <c r="L9" s="405">
        <f t="shared" si="1"/>
        <v>1.7981617499999997E-4</v>
      </c>
      <c r="M9" s="405">
        <f t="shared" si="13"/>
        <v>1.6794785958904108E-4</v>
      </c>
      <c r="N9" s="406">
        <f t="shared" si="14"/>
        <v>8.6127107481559525E-5</v>
      </c>
      <c r="O9" s="33">
        <f t="shared" si="15"/>
        <v>6.5387699999999993E-3</v>
      </c>
      <c r="P9" s="405">
        <f t="shared" si="16"/>
        <v>8.1734624999999997E-5</v>
      </c>
      <c r="Q9" s="405">
        <f t="shared" si="5"/>
        <v>5.9938724999999998E-5</v>
      </c>
      <c r="R9" s="405">
        <f t="shared" si="17"/>
        <v>5.5982619863013688E-5</v>
      </c>
      <c r="S9" s="406">
        <f t="shared" si="18"/>
        <v>2.2249502766069543E-5</v>
      </c>
      <c r="T9" s="113" t="s">
        <v>499</v>
      </c>
    </row>
    <row r="10" spans="1:20" x14ac:dyDescent="0.2">
      <c r="A10" s="30" t="s">
        <v>471</v>
      </c>
      <c r="B10" s="400">
        <v>228</v>
      </c>
      <c r="C10" s="41">
        <v>2.9099999999999998E-3</v>
      </c>
      <c r="D10" s="56">
        <v>2.1</v>
      </c>
      <c r="E10" s="57">
        <v>1070</v>
      </c>
      <c r="F10" s="56">
        <v>1.4</v>
      </c>
      <c r="G10" s="57">
        <v>535</v>
      </c>
      <c r="H10" s="99">
        <v>3.0000000000000001E-3</v>
      </c>
      <c r="I10" s="59">
        <v>250</v>
      </c>
      <c r="J10" s="33">
        <f t="shared" si="11"/>
        <v>1.9616309999999998E-2</v>
      </c>
      <c r="K10" s="405">
        <f t="shared" si="12"/>
        <v>2.4520387499999996E-4</v>
      </c>
      <c r="L10" s="405">
        <f t="shared" si="1"/>
        <v>1.7981617499999997E-4</v>
      </c>
      <c r="M10" s="405">
        <f t="shared" si="13"/>
        <v>1.6794785958904108E-4</v>
      </c>
      <c r="N10" s="406">
        <f t="shared" si="14"/>
        <v>8.6127107481559525E-5</v>
      </c>
      <c r="O10" s="33">
        <f t="shared" si="15"/>
        <v>6.5387699999999993E-3</v>
      </c>
      <c r="P10" s="405">
        <f t="shared" si="16"/>
        <v>8.1734624999999997E-5</v>
      </c>
      <c r="Q10" s="405">
        <f t="shared" si="5"/>
        <v>5.9938724999999998E-5</v>
      </c>
      <c r="R10" s="405">
        <f t="shared" si="17"/>
        <v>5.5982619863013688E-5</v>
      </c>
      <c r="S10" s="406">
        <f t="shared" si="18"/>
        <v>2.2249502766069543E-5</v>
      </c>
      <c r="T10" s="113" t="s">
        <v>499</v>
      </c>
    </row>
    <row r="11" spans="1:20" x14ac:dyDescent="0.2">
      <c r="A11" s="30" t="s">
        <v>1</v>
      </c>
      <c r="B11" s="400">
        <v>228</v>
      </c>
      <c r="C11" s="41">
        <v>2.9099999999999998E-3</v>
      </c>
      <c r="D11" s="56">
        <v>2.1</v>
      </c>
      <c r="E11" s="57">
        <v>1070</v>
      </c>
      <c r="F11" s="56">
        <v>1.4</v>
      </c>
      <c r="G11" s="57">
        <v>535</v>
      </c>
      <c r="H11" s="99">
        <v>3.0000000000000001E-3</v>
      </c>
      <c r="I11" s="497">
        <v>250</v>
      </c>
      <c r="J11" s="33">
        <f t="shared" ref="J11:J13" si="19">$D11*$E11*$C11*$H11</f>
        <v>1.9616309999999998E-2</v>
      </c>
      <c r="K11" s="405">
        <f t="shared" ref="K11:K13" si="20">J11/BW_default</f>
        <v>2.4520387499999996E-4</v>
      </c>
      <c r="L11" s="405">
        <f t="shared" si="1"/>
        <v>1.7981617499999997E-4</v>
      </c>
      <c r="M11" s="405">
        <f t="shared" ref="M11:M13" si="21">(K11*$I11*_xlfn.SINGLE(WY_HE_default))/(AT_CRD_high)</f>
        <v>1.6794785958904108E-4</v>
      </c>
      <c r="N11" s="406">
        <f t="shared" ref="N11:N13" si="22">(K11*$I11*_xlfn.SINGLE(WY_HE_default))/(AT_LCRD)</f>
        <v>8.6127107481559525E-5</v>
      </c>
      <c r="O11" s="33">
        <f t="shared" ref="O11:O13" si="23">$F11*$G11*$C11*$H11</f>
        <v>6.5387699999999993E-3</v>
      </c>
      <c r="P11" s="405">
        <f t="shared" ref="P11:P13" si="24">O11/BW_default</f>
        <v>8.1734624999999997E-5</v>
      </c>
      <c r="Q11" s="405">
        <f t="shared" si="5"/>
        <v>5.9938724999999998E-5</v>
      </c>
      <c r="R11" s="405">
        <f t="shared" ref="R11:R13" si="25">(P11*$I11*_xlfn.SINGLE(WY_CT_default))/(AT_CRD_mid)</f>
        <v>5.5982619863013688E-5</v>
      </c>
      <c r="S11" s="406">
        <f t="shared" ref="S11:S13" si="26">(P11*$I11*_xlfn.SINGLE(WY_CT_default))/(AT_LCRD)</f>
        <v>2.2249502766069543E-5</v>
      </c>
      <c r="T11" s="113" t="s">
        <v>499</v>
      </c>
    </row>
    <row r="12" spans="1:20" x14ac:dyDescent="0.2">
      <c r="A12" s="30" t="s">
        <v>3</v>
      </c>
      <c r="B12" s="400">
        <v>18.5</v>
      </c>
      <c r="C12" s="233">
        <v>1.4999999999999999E-4</v>
      </c>
      <c r="D12" s="56">
        <v>2.1</v>
      </c>
      <c r="E12" s="57">
        <v>1070</v>
      </c>
      <c r="F12" s="56">
        <v>1.4</v>
      </c>
      <c r="G12" s="57">
        <v>535</v>
      </c>
      <c r="H12" s="58">
        <v>0.13</v>
      </c>
      <c r="I12" s="497">
        <v>250</v>
      </c>
      <c r="J12" s="33">
        <f t="shared" si="19"/>
        <v>4.3816499999999994E-2</v>
      </c>
      <c r="K12" s="405">
        <f t="shared" si="20"/>
        <v>5.4770624999999989E-4</v>
      </c>
      <c r="L12" s="405">
        <f t="shared" si="1"/>
        <v>4.0165124999999992E-4</v>
      </c>
      <c r="M12" s="405">
        <f t="shared" si="21"/>
        <v>3.7514126712328758E-4</v>
      </c>
      <c r="N12" s="406">
        <f t="shared" si="22"/>
        <v>1.9238013698630134E-4</v>
      </c>
      <c r="O12" s="33">
        <f t="shared" si="23"/>
        <v>1.4605499999999999E-2</v>
      </c>
      <c r="P12" s="405">
        <f t="shared" si="24"/>
        <v>1.8256874999999999E-4</v>
      </c>
      <c r="Q12" s="405">
        <f t="shared" si="5"/>
        <v>1.3388374999999999E-4</v>
      </c>
      <c r="R12" s="405">
        <f t="shared" si="25"/>
        <v>1.250470890410959E-4</v>
      </c>
      <c r="S12" s="406">
        <f t="shared" si="26"/>
        <v>4.9698202054794524E-5</v>
      </c>
      <c r="T12" s="113" t="s">
        <v>234</v>
      </c>
    </row>
    <row r="13" spans="1:20" ht="13.5" thickBot="1" x14ac:dyDescent="0.25">
      <c r="A13" s="42" t="s">
        <v>4</v>
      </c>
      <c r="B13" s="401">
        <v>435</v>
      </c>
      <c r="C13" s="508">
        <v>9.990000000000001E-4</v>
      </c>
      <c r="D13" s="62">
        <v>2.1</v>
      </c>
      <c r="E13" s="63">
        <v>1070</v>
      </c>
      <c r="F13" s="62">
        <v>1.4</v>
      </c>
      <c r="G13" s="63">
        <v>535</v>
      </c>
      <c r="H13" s="64">
        <v>0.08</v>
      </c>
      <c r="I13" s="498">
        <v>250</v>
      </c>
      <c r="J13" s="45">
        <f t="shared" si="19"/>
        <v>0.17958024000000003</v>
      </c>
      <c r="K13" s="407">
        <f t="shared" si="20"/>
        <v>2.2447530000000004E-3</v>
      </c>
      <c r="L13" s="407">
        <f t="shared" si="1"/>
        <v>1.6461522000000002E-3</v>
      </c>
      <c r="M13" s="407">
        <f t="shared" si="21"/>
        <v>1.5375020547945205E-3</v>
      </c>
      <c r="N13" s="46">
        <f t="shared" si="22"/>
        <v>7.884625922023183E-4</v>
      </c>
      <c r="O13" s="45">
        <f t="shared" si="23"/>
        <v>5.986008000000001E-2</v>
      </c>
      <c r="P13" s="407">
        <f t="shared" si="24"/>
        <v>7.4825100000000012E-4</v>
      </c>
      <c r="Q13" s="407">
        <f t="shared" si="5"/>
        <v>5.4871740000000013E-4</v>
      </c>
      <c r="R13" s="407">
        <f t="shared" si="25"/>
        <v>5.1250068493150695E-4</v>
      </c>
      <c r="S13" s="46">
        <f t="shared" si="26"/>
        <v>2.0368616965226558E-4</v>
      </c>
      <c r="T13" s="114" t="s">
        <v>235</v>
      </c>
    </row>
    <row r="14" spans="1:20" x14ac:dyDescent="0.2">
      <c r="J14" s="65"/>
      <c r="K14" s="65"/>
      <c r="R14" s="5"/>
      <c r="S14" s="5"/>
    </row>
    <row r="15" spans="1:20" ht="16.5" thickBot="1" x14ac:dyDescent="0.25">
      <c r="A15" s="281" t="s">
        <v>219</v>
      </c>
      <c r="B15" s="279"/>
      <c r="C15" s="279"/>
      <c r="D15" s="279"/>
      <c r="E15" s="280"/>
      <c r="F15" s="280"/>
      <c r="G15" s="280"/>
      <c r="H15" s="280"/>
      <c r="I15" s="280"/>
      <c r="J15" s="280"/>
      <c r="K15" s="280"/>
      <c r="L15" s="280"/>
      <c r="M15" s="280"/>
      <c r="N15" s="280"/>
      <c r="O15" s="280"/>
      <c r="P15" s="280"/>
      <c r="Q15" s="280"/>
      <c r="R15" s="280"/>
      <c r="S15" s="279"/>
      <c r="T15" s="280"/>
    </row>
    <row r="16" spans="1:20" ht="13.5" thickBot="1" x14ac:dyDescent="0.25">
      <c r="A16" s="245"/>
      <c r="B16" s="246"/>
      <c r="C16" s="640" t="s">
        <v>220</v>
      </c>
      <c r="D16" s="641"/>
      <c r="E16" s="641"/>
      <c r="F16" s="641"/>
      <c r="G16" s="641"/>
      <c r="H16" s="641"/>
      <c r="I16" s="642"/>
      <c r="J16" s="643" t="s">
        <v>221</v>
      </c>
      <c r="K16" s="644"/>
      <c r="L16" s="644"/>
      <c r="M16" s="644"/>
      <c r="N16" s="645"/>
      <c r="O16" s="643" t="s">
        <v>222</v>
      </c>
      <c r="P16" s="644"/>
      <c r="Q16" s="644"/>
      <c r="R16" s="644"/>
      <c r="S16" s="645"/>
      <c r="T16" s="646" t="s">
        <v>223</v>
      </c>
    </row>
    <row r="17" spans="1:20" ht="51.95" customHeight="1" x14ac:dyDescent="0.2">
      <c r="A17" s="648" t="s">
        <v>22</v>
      </c>
      <c r="B17" s="650" t="s">
        <v>205</v>
      </c>
      <c r="C17" s="650" t="s">
        <v>236</v>
      </c>
      <c r="D17" s="652" t="s">
        <v>224</v>
      </c>
      <c r="E17" s="653"/>
      <c r="F17" s="652" t="s">
        <v>27</v>
      </c>
      <c r="G17" s="653"/>
      <c r="H17" s="654" t="s">
        <v>225</v>
      </c>
      <c r="I17" s="654" t="s">
        <v>226</v>
      </c>
      <c r="J17" s="48" t="s">
        <v>227</v>
      </c>
      <c r="K17" s="49" t="s">
        <v>92</v>
      </c>
      <c r="L17" s="49" t="s">
        <v>93</v>
      </c>
      <c r="M17" s="49" t="s">
        <v>94</v>
      </c>
      <c r="N17" s="50" t="s">
        <v>95</v>
      </c>
      <c r="O17" s="48" t="s">
        <v>227</v>
      </c>
      <c r="P17" s="49" t="s">
        <v>92</v>
      </c>
      <c r="Q17" s="49" t="s">
        <v>93</v>
      </c>
      <c r="R17" s="49" t="s">
        <v>94</v>
      </c>
      <c r="S17" s="50" t="s">
        <v>95</v>
      </c>
      <c r="T17" s="647"/>
    </row>
    <row r="18" spans="1:20" ht="15.75" thickBot="1" x14ac:dyDescent="0.25">
      <c r="A18" s="658"/>
      <c r="B18" s="659"/>
      <c r="C18" s="659"/>
      <c r="D18" s="457" t="s">
        <v>228</v>
      </c>
      <c r="E18" s="458" t="s">
        <v>229</v>
      </c>
      <c r="F18" s="457" t="s">
        <v>228</v>
      </c>
      <c r="G18" s="458" t="s">
        <v>229</v>
      </c>
      <c r="H18" s="656"/>
      <c r="I18" s="656"/>
      <c r="J18" s="499" t="s">
        <v>230</v>
      </c>
      <c r="K18" s="500" t="s">
        <v>231</v>
      </c>
      <c r="L18" s="500" t="s">
        <v>500</v>
      </c>
      <c r="M18" s="500" t="s">
        <v>232</v>
      </c>
      <c r="N18" s="501" t="s">
        <v>233</v>
      </c>
      <c r="O18" s="499" t="s">
        <v>230</v>
      </c>
      <c r="P18" s="500" t="s">
        <v>231</v>
      </c>
      <c r="Q18" s="500" t="s">
        <v>500</v>
      </c>
      <c r="R18" s="500" t="s">
        <v>232</v>
      </c>
      <c r="S18" s="501" t="s">
        <v>233</v>
      </c>
      <c r="T18" s="657"/>
    </row>
    <row r="19" spans="1:20" x14ac:dyDescent="0.2">
      <c r="A19" s="460" t="s">
        <v>0</v>
      </c>
      <c r="B19" s="402">
        <v>78.900000000000006</v>
      </c>
      <c r="C19" s="502">
        <v>1</v>
      </c>
      <c r="D19" s="503">
        <v>2.1</v>
      </c>
      <c r="E19" s="504">
        <v>1070</v>
      </c>
      <c r="F19" s="503">
        <v>1.4</v>
      </c>
      <c r="G19" s="504">
        <v>535</v>
      </c>
      <c r="H19" s="505">
        <v>3.0000000000000001E-3</v>
      </c>
      <c r="I19" s="509">
        <v>250</v>
      </c>
      <c r="J19" s="506">
        <f>$D19*$E19*$C19*$H19</f>
        <v>6.7410000000000005</v>
      </c>
      <c r="K19" s="507">
        <f t="shared" ref="K19" si="27">J19/BW_default</f>
        <v>8.4262500000000004E-2</v>
      </c>
      <c r="L19" s="507">
        <f t="shared" ref="L19:L27" si="28">IF($I19 &gt;=EF_ST,(K19*EF_ST)/(AT_CRD_ST), (K19*$I19)/(AT_CRD_ST))</f>
        <v>6.1792500000000007E-2</v>
      </c>
      <c r="M19" s="507">
        <f t="shared" ref="M19" si="29">(K19*$I19*_xlfn.SINGLE(WY_HE_default))/(AT_CRD_high)</f>
        <v>5.7714041095890414E-2</v>
      </c>
      <c r="N19" s="512">
        <f t="shared" ref="N19" si="30">(K19*$I19*_xlfn.SINGLE(WY_HE_default))/(AT_LCRD)</f>
        <v>2.9596944151738674E-2</v>
      </c>
      <c r="O19" s="506">
        <f>$F19*$G19*$C19*$H19</f>
        <v>2.2469999999999999</v>
      </c>
      <c r="P19" s="507">
        <f t="shared" ref="P19" si="31">O19/BW_default</f>
        <v>2.8087499999999998E-2</v>
      </c>
      <c r="Q19" s="507">
        <f t="shared" ref="Q19:Q27" si="32">IF($I19 &gt;=EF_ST,(P19*EF_ST)/(AT_CRD_ST), (P19*$I19)/(AT_CRD_ST))</f>
        <v>2.0597499999999998E-2</v>
      </c>
      <c r="R19" s="507">
        <f t="shared" ref="R19" si="33">(P19*$I19*_xlfn.SINGLE(WY_CT_default))/(AT_CRD_mid)</f>
        <v>1.9238013698630138E-2</v>
      </c>
      <c r="S19" s="512">
        <f t="shared" ref="S19" si="34">(P19*$I19*_xlfn.SINGLE(WY_CT_default))/(AT_LCRD)</f>
        <v>7.6458772391991567E-3</v>
      </c>
      <c r="T19" s="113" t="s">
        <v>498</v>
      </c>
    </row>
    <row r="20" spans="1:20" x14ac:dyDescent="0.2">
      <c r="A20" s="21" t="s">
        <v>473</v>
      </c>
      <c r="B20" s="400">
        <v>228</v>
      </c>
      <c r="C20" s="31">
        <v>0.3</v>
      </c>
      <c r="D20" s="56">
        <v>2.1</v>
      </c>
      <c r="E20" s="57">
        <v>1070</v>
      </c>
      <c r="F20" s="56">
        <v>1.4</v>
      </c>
      <c r="G20" s="57">
        <v>535</v>
      </c>
      <c r="H20" s="99">
        <v>3.0000000000000001E-3</v>
      </c>
      <c r="I20" s="510">
        <v>250</v>
      </c>
      <c r="J20" s="33">
        <f>$D20*$E20*$C20*$H20</f>
        <v>2.0223</v>
      </c>
      <c r="K20" s="405">
        <f t="shared" ref="K20" si="35">J20/BW_default</f>
        <v>2.5278749999999999E-2</v>
      </c>
      <c r="L20" s="405">
        <f t="shared" si="28"/>
        <v>1.8537750000000002E-2</v>
      </c>
      <c r="M20" s="405">
        <f t="shared" ref="M20" si="36">(K20*$I20*_xlfn.SINGLE(WY_HE_default))/(AT_CRD_high)</f>
        <v>1.7314212328767124E-2</v>
      </c>
      <c r="N20" s="406">
        <f t="shared" ref="N20" si="37">(K20*$I20*_xlfn.SINGLE(WY_HE_default))/(AT_LCRD)</f>
        <v>8.8790832455216007E-3</v>
      </c>
      <c r="O20" s="33">
        <f>$F20*$G20*$C20*$H20</f>
        <v>0.67410000000000003</v>
      </c>
      <c r="P20" s="405">
        <f t="shared" ref="P20" si="38">O20/BW_default</f>
        <v>8.4262499999999997E-3</v>
      </c>
      <c r="Q20" s="405">
        <f t="shared" si="32"/>
        <v>6.1792499999999998E-3</v>
      </c>
      <c r="R20" s="405">
        <f t="shared" ref="R20" si="39">(P20*$I20*_xlfn.SINGLE(WY_CT_default))/(AT_CRD_mid)</f>
        <v>5.7714041095890409E-3</v>
      </c>
      <c r="S20" s="406">
        <f t="shared" ref="S20" si="40">(P20*$I20*_xlfn.SINGLE(WY_CT_default))/(AT_LCRD)</f>
        <v>2.2937631717597469E-3</v>
      </c>
      <c r="T20" s="113" t="s">
        <v>499</v>
      </c>
    </row>
    <row r="21" spans="1:20" x14ac:dyDescent="0.2">
      <c r="A21" s="30" t="s">
        <v>468</v>
      </c>
      <c r="B21" s="400">
        <v>228</v>
      </c>
      <c r="C21" s="31">
        <v>0.3</v>
      </c>
      <c r="D21" s="56">
        <v>2.1</v>
      </c>
      <c r="E21" s="57">
        <v>1070</v>
      </c>
      <c r="F21" s="56">
        <v>1.4</v>
      </c>
      <c r="G21" s="57">
        <v>535</v>
      </c>
      <c r="H21" s="99">
        <v>3.0000000000000001E-3</v>
      </c>
      <c r="I21" s="404">
        <v>250</v>
      </c>
      <c r="J21" s="33">
        <f t="shared" ref="J21:J24" si="41">$D21*$E21*$C21*$H21</f>
        <v>2.0223</v>
      </c>
      <c r="K21" s="405">
        <f t="shared" ref="K21:K24" si="42">J21/BW_default</f>
        <v>2.5278749999999999E-2</v>
      </c>
      <c r="L21" s="405">
        <f t="shared" si="28"/>
        <v>1.8537750000000002E-2</v>
      </c>
      <c r="M21" s="405">
        <f t="shared" ref="M21:M24" si="43">(K21*$I21*_xlfn.SINGLE(WY_HE_default))/(AT_CRD_high)</f>
        <v>1.7314212328767124E-2</v>
      </c>
      <c r="N21" s="406">
        <f t="shared" ref="N21:N24" si="44">(K21*$I21*_xlfn.SINGLE(WY_HE_default))/(AT_LCRD)</f>
        <v>8.8790832455216007E-3</v>
      </c>
      <c r="O21" s="33">
        <f t="shared" ref="O21:O24" si="45">$F21*$G21*$C21*$H21</f>
        <v>0.67410000000000003</v>
      </c>
      <c r="P21" s="405">
        <f t="shared" ref="P21:P24" si="46">O21/BW_default</f>
        <v>8.4262499999999997E-3</v>
      </c>
      <c r="Q21" s="405">
        <f t="shared" si="32"/>
        <v>6.1792499999999998E-3</v>
      </c>
      <c r="R21" s="405">
        <f t="shared" ref="R21:R24" si="47">(P21*$I21*_xlfn.SINGLE(WY_CT_default))/(AT_CRD_mid)</f>
        <v>5.7714041095890409E-3</v>
      </c>
      <c r="S21" s="406">
        <f t="shared" ref="S21:S24" si="48">(P21*$I21*_xlfn.SINGLE(WY_CT_default))/(AT_LCRD)</f>
        <v>2.2937631717597469E-3</v>
      </c>
      <c r="T21" s="113" t="s">
        <v>499</v>
      </c>
    </row>
    <row r="22" spans="1:20" x14ac:dyDescent="0.2">
      <c r="A22" s="30" t="s">
        <v>469</v>
      </c>
      <c r="B22" s="400">
        <v>228</v>
      </c>
      <c r="C22" s="31">
        <v>0.3</v>
      </c>
      <c r="D22" s="56">
        <v>2.1</v>
      </c>
      <c r="E22" s="57">
        <v>1070</v>
      </c>
      <c r="F22" s="56">
        <v>1.4</v>
      </c>
      <c r="G22" s="57">
        <v>535</v>
      </c>
      <c r="H22" s="99">
        <v>3.0000000000000001E-3</v>
      </c>
      <c r="I22" s="404">
        <v>250</v>
      </c>
      <c r="J22" s="33">
        <f t="shared" si="41"/>
        <v>2.0223</v>
      </c>
      <c r="K22" s="405">
        <f t="shared" si="42"/>
        <v>2.5278749999999999E-2</v>
      </c>
      <c r="L22" s="405">
        <f t="shared" si="28"/>
        <v>1.8537750000000002E-2</v>
      </c>
      <c r="M22" s="405">
        <f t="shared" si="43"/>
        <v>1.7314212328767124E-2</v>
      </c>
      <c r="N22" s="406">
        <f t="shared" si="44"/>
        <v>8.8790832455216007E-3</v>
      </c>
      <c r="O22" s="33">
        <f t="shared" si="45"/>
        <v>0.67410000000000003</v>
      </c>
      <c r="P22" s="405">
        <f t="shared" si="46"/>
        <v>8.4262499999999997E-3</v>
      </c>
      <c r="Q22" s="405">
        <f t="shared" si="32"/>
        <v>6.1792499999999998E-3</v>
      </c>
      <c r="R22" s="405">
        <f t="shared" si="47"/>
        <v>5.7714041095890409E-3</v>
      </c>
      <c r="S22" s="406">
        <f t="shared" si="48"/>
        <v>2.2937631717597469E-3</v>
      </c>
      <c r="T22" s="113" t="s">
        <v>499</v>
      </c>
    </row>
    <row r="23" spans="1:20" x14ac:dyDescent="0.2">
      <c r="A23" s="30" t="s">
        <v>470</v>
      </c>
      <c r="B23" s="400">
        <v>228</v>
      </c>
      <c r="C23" s="31">
        <v>0.3</v>
      </c>
      <c r="D23" s="56">
        <v>2.1</v>
      </c>
      <c r="E23" s="57">
        <v>1070</v>
      </c>
      <c r="F23" s="56">
        <v>1.4</v>
      </c>
      <c r="G23" s="57">
        <v>535</v>
      </c>
      <c r="H23" s="99">
        <v>3.0000000000000001E-3</v>
      </c>
      <c r="I23" s="404">
        <v>250</v>
      </c>
      <c r="J23" s="33">
        <f t="shared" si="41"/>
        <v>2.0223</v>
      </c>
      <c r="K23" s="405">
        <f t="shared" si="42"/>
        <v>2.5278749999999999E-2</v>
      </c>
      <c r="L23" s="405">
        <f t="shared" si="28"/>
        <v>1.8537750000000002E-2</v>
      </c>
      <c r="M23" s="405">
        <f t="shared" si="43"/>
        <v>1.7314212328767124E-2</v>
      </c>
      <c r="N23" s="406">
        <f t="shared" si="44"/>
        <v>8.8790832455216007E-3</v>
      </c>
      <c r="O23" s="33">
        <f t="shared" si="45"/>
        <v>0.67410000000000003</v>
      </c>
      <c r="P23" s="405">
        <f t="shared" si="46"/>
        <v>8.4262499999999997E-3</v>
      </c>
      <c r="Q23" s="405">
        <f t="shared" si="32"/>
        <v>6.1792499999999998E-3</v>
      </c>
      <c r="R23" s="405">
        <f t="shared" si="47"/>
        <v>5.7714041095890409E-3</v>
      </c>
      <c r="S23" s="406">
        <f t="shared" si="48"/>
        <v>2.2937631717597469E-3</v>
      </c>
      <c r="T23" s="113" t="s">
        <v>499</v>
      </c>
    </row>
    <row r="24" spans="1:20" x14ac:dyDescent="0.2">
      <c r="A24" s="30" t="s">
        <v>471</v>
      </c>
      <c r="B24" s="400">
        <v>228</v>
      </c>
      <c r="C24" s="31">
        <v>0.3</v>
      </c>
      <c r="D24" s="56">
        <v>2.1</v>
      </c>
      <c r="E24" s="57">
        <v>1070</v>
      </c>
      <c r="F24" s="56">
        <v>1.4</v>
      </c>
      <c r="G24" s="57">
        <v>535</v>
      </c>
      <c r="H24" s="99">
        <v>3.0000000000000001E-3</v>
      </c>
      <c r="I24" s="404">
        <v>250</v>
      </c>
      <c r="J24" s="33">
        <f t="shared" si="41"/>
        <v>2.0223</v>
      </c>
      <c r="K24" s="405">
        <f t="shared" si="42"/>
        <v>2.5278749999999999E-2</v>
      </c>
      <c r="L24" s="405">
        <f t="shared" si="28"/>
        <v>1.8537750000000002E-2</v>
      </c>
      <c r="M24" s="405">
        <f t="shared" si="43"/>
        <v>1.7314212328767124E-2</v>
      </c>
      <c r="N24" s="406">
        <f t="shared" si="44"/>
        <v>8.8790832455216007E-3</v>
      </c>
      <c r="O24" s="33">
        <f t="shared" si="45"/>
        <v>0.67410000000000003</v>
      </c>
      <c r="P24" s="405">
        <f t="shared" si="46"/>
        <v>8.4262499999999997E-3</v>
      </c>
      <c r="Q24" s="405">
        <f t="shared" si="32"/>
        <v>6.1792499999999998E-3</v>
      </c>
      <c r="R24" s="405">
        <f t="shared" si="47"/>
        <v>5.7714041095890409E-3</v>
      </c>
      <c r="S24" s="406">
        <f t="shared" si="48"/>
        <v>2.2937631717597469E-3</v>
      </c>
      <c r="T24" s="113" t="s">
        <v>499</v>
      </c>
    </row>
    <row r="25" spans="1:20" x14ac:dyDescent="0.2">
      <c r="A25" s="30" t="s">
        <v>1</v>
      </c>
      <c r="B25" s="400">
        <v>228</v>
      </c>
      <c r="C25" s="31">
        <v>0.3</v>
      </c>
      <c r="D25" s="56">
        <v>2.1</v>
      </c>
      <c r="E25" s="57">
        <v>1070</v>
      </c>
      <c r="F25" s="56">
        <v>1.4</v>
      </c>
      <c r="G25" s="57">
        <v>535</v>
      </c>
      <c r="H25" s="99">
        <v>3.0000000000000001E-3</v>
      </c>
      <c r="I25" s="510">
        <v>250</v>
      </c>
      <c r="J25" s="33">
        <f t="shared" ref="J25:J27" si="49">$D25*$E25*$C25*$H25</f>
        <v>2.0223</v>
      </c>
      <c r="K25" s="405">
        <f t="shared" ref="K25:K27" si="50">J25/BW_default</f>
        <v>2.5278749999999999E-2</v>
      </c>
      <c r="L25" s="405">
        <f t="shared" si="28"/>
        <v>1.8537750000000002E-2</v>
      </c>
      <c r="M25" s="405">
        <f t="shared" ref="M25:M27" si="51">(K25*$I25*_xlfn.SINGLE(WY_HE_default))/(AT_CRD_high)</f>
        <v>1.7314212328767124E-2</v>
      </c>
      <c r="N25" s="406">
        <f t="shared" ref="N25:N27" si="52">(K25*$I25*_xlfn.SINGLE(WY_HE_default))/(AT_LCRD)</f>
        <v>8.8790832455216007E-3</v>
      </c>
      <c r="O25" s="33">
        <f t="shared" ref="O25:O27" si="53">$F25*$G25*$C25*$H25</f>
        <v>0.67410000000000003</v>
      </c>
      <c r="P25" s="405">
        <f t="shared" ref="P25:P27" si="54">O25/BW_default</f>
        <v>8.4262499999999997E-3</v>
      </c>
      <c r="Q25" s="405">
        <f t="shared" si="32"/>
        <v>6.1792499999999998E-3</v>
      </c>
      <c r="R25" s="405">
        <f t="shared" ref="R25:R27" si="55">(P25*$I25*_xlfn.SINGLE(WY_CT_default))/(AT_CRD_mid)</f>
        <v>5.7714041095890409E-3</v>
      </c>
      <c r="S25" s="406">
        <f t="shared" ref="S25:S27" si="56">(P25*$I25*_xlfn.SINGLE(WY_CT_default))/(AT_LCRD)</f>
        <v>2.2937631717597469E-3</v>
      </c>
      <c r="T25" s="113" t="s">
        <v>499</v>
      </c>
    </row>
    <row r="26" spans="1:20" x14ac:dyDescent="0.2">
      <c r="A26" s="30" t="s">
        <v>3</v>
      </c>
      <c r="B26" s="400">
        <v>18.5</v>
      </c>
      <c r="C26" s="60">
        <v>1.0999999999999999E-2</v>
      </c>
      <c r="D26" s="56">
        <v>2.1</v>
      </c>
      <c r="E26" s="57">
        <v>1070</v>
      </c>
      <c r="F26" s="56">
        <v>1.4</v>
      </c>
      <c r="G26" s="57">
        <v>535</v>
      </c>
      <c r="H26" s="58">
        <v>0.13</v>
      </c>
      <c r="I26" s="510">
        <v>250</v>
      </c>
      <c r="J26" s="33">
        <f t="shared" si="49"/>
        <v>3.2132100000000001</v>
      </c>
      <c r="K26" s="405">
        <f t="shared" si="50"/>
        <v>4.0165125000000003E-2</v>
      </c>
      <c r="L26" s="405">
        <f t="shared" si="28"/>
        <v>2.9454425000000003E-2</v>
      </c>
      <c r="M26" s="405">
        <f t="shared" si="51"/>
        <v>2.7510359589041095E-2</v>
      </c>
      <c r="N26" s="406">
        <f t="shared" si="52"/>
        <v>1.4107876712328767E-2</v>
      </c>
      <c r="O26" s="33">
        <f t="shared" si="53"/>
        <v>1.07107</v>
      </c>
      <c r="P26" s="405">
        <f t="shared" si="54"/>
        <v>1.3388374999999999E-2</v>
      </c>
      <c r="Q26" s="405">
        <f t="shared" si="32"/>
        <v>9.818141666666667E-3</v>
      </c>
      <c r="R26" s="405">
        <f t="shared" si="55"/>
        <v>9.1701198630136978E-3</v>
      </c>
      <c r="S26" s="406">
        <f t="shared" si="56"/>
        <v>3.6445348173515984E-3</v>
      </c>
      <c r="T26" s="113" t="s">
        <v>234</v>
      </c>
    </row>
    <row r="27" spans="1:20" ht="13.5" thickBot="1" x14ac:dyDescent="0.25">
      <c r="A27" s="42" t="s">
        <v>4</v>
      </c>
      <c r="B27" s="401">
        <v>435</v>
      </c>
      <c r="C27" s="508">
        <v>9.990000000000001E-4</v>
      </c>
      <c r="D27" s="62">
        <v>2.1</v>
      </c>
      <c r="E27" s="63">
        <v>1070</v>
      </c>
      <c r="F27" s="62">
        <v>1.4</v>
      </c>
      <c r="G27" s="63">
        <v>535</v>
      </c>
      <c r="H27" s="64">
        <v>0.08</v>
      </c>
      <c r="I27" s="511">
        <v>250</v>
      </c>
      <c r="J27" s="45">
        <f t="shared" si="49"/>
        <v>0.17958024000000003</v>
      </c>
      <c r="K27" s="407">
        <f t="shared" si="50"/>
        <v>2.2447530000000004E-3</v>
      </c>
      <c r="L27" s="407">
        <f t="shared" si="28"/>
        <v>1.6461522000000002E-3</v>
      </c>
      <c r="M27" s="407">
        <f t="shared" si="51"/>
        <v>1.5375020547945205E-3</v>
      </c>
      <c r="N27" s="46">
        <f t="shared" si="52"/>
        <v>7.884625922023183E-4</v>
      </c>
      <c r="O27" s="45">
        <f t="shared" si="53"/>
        <v>5.986008000000001E-2</v>
      </c>
      <c r="P27" s="407">
        <f t="shared" si="54"/>
        <v>7.4825100000000012E-4</v>
      </c>
      <c r="Q27" s="407">
        <f t="shared" si="32"/>
        <v>5.4871740000000013E-4</v>
      </c>
      <c r="R27" s="407">
        <f t="shared" si="55"/>
        <v>5.1250068493150695E-4</v>
      </c>
      <c r="S27" s="46">
        <f t="shared" si="56"/>
        <v>2.0368616965226558E-4</v>
      </c>
      <c r="T27" s="114" t="s">
        <v>235</v>
      </c>
    </row>
    <row r="29" spans="1:20" ht="16.5" thickBot="1" x14ac:dyDescent="0.25">
      <c r="A29" s="281" t="s">
        <v>449</v>
      </c>
      <c r="B29" s="279"/>
      <c r="C29" s="279"/>
      <c r="D29" s="279"/>
      <c r="E29" s="280"/>
      <c r="F29" s="280"/>
      <c r="G29" s="280"/>
      <c r="H29" s="280"/>
      <c r="I29" s="280"/>
      <c r="J29" s="280"/>
      <c r="K29" s="280"/>
      <c r="L29" s="280"/>
      <c r="M29" s="280"/>
      <c r="N29" s="280"/>
      <c r="O29" s="280"/>
      <c r="P29" s="280"/>
      <c r="Q29" s="280"/>
      <c r="R29" s="280"/>
      <c r="S29" s="279"/>
      <c r="T29" s="280"/>
    </row>
    <row r="30" spans="1:20" ht="13.5" thickBot="1" x14ac:dyDescent="0.25">
      <c r="A30" s="245"/>
      <c r="B30" s="246"/>
      <c r="C30" s="640" t="s">
        <v>220</v>
      </c>
      <c r="D30" s="641"/>
      <c r="E30" s="641"/>
      <c r="F30" s="641"/>
      <c r="G30" s="641"/>
      <c r="H30" s="641"/>
      <c r="I30" s="642"/>
      <c r="J30" s="643" t="s">
        <v>221</v>
      </c>
      <c r="K30" s="644"/>
      <c r="L30" s="644"/>
      <c r="M30" s="644"/>
      <c r="N30" s="645"/>
      <c r="O30" s="643" t="s">
        <v>222</v>
      </c>
      <c r="P30" s="644"/>
      <c r="Q30" s="644"/>
      <c r="R30" s="644"/>
      <c r="S30" s="645"/>
      <c r="T30" s="646" t="s">
        <v>223</v>
      </c>
    </row>
    <row r="31" spans="1:20" ht="51.95" customHeight="1" x14ac:dyDescent="0.2">
      <c r="A31" s="648" t="s">
        <v>22</v>
      </c>
      <c r="B31" s="650" t="s">
        <v>205</v>
      </c>
      <c r="C31" s="650" t="s">
        <v>453</v>
      </c>
      <c r="D31" s="652" t="s">
        <v>224</v>
      </c>
      <c r="E31" s="653"/>
      <c r="F31" s="652" t="s">
        <v>27</v>
      </c>
      <c r="G31" s="653"/>
      <c r="H31" s="654" t="s">
        <v>225</v>
      </c>
      <c r="I31" s="654" t="s">
        <v>226</v>
      </c>
      <c r="J31" s="48" t="s">
        <v>227</v>
      </c>
      <c r="K31" s="49" t="s">
        <v>92</v>
      </c>
      <c r="L31" s="49" t="s">
        <v>93</v>
      </c>
      <c r="M31" s="49" t="s">
        <v>94</v>
      </c>
      <c r="N31" s="50" t="s">
        <v>95</v>
      </c>
      <c r="O31" s="48" t="s">
        <v>227</v>
      </c>
      <c r="P31" s="49" t="s">
        <v>92</v>
      </c>
      <c r="Q31" s="49" t="s">
        <v>93</v>
      </c>
      <c r="R31" s="49" t="s">
        <v>94</v>
      </c>
      <c r="S31" s="50" t="s">
        <v>95</v>
      </c>
      <c r="T31" s="647"/>
    </row>
    <row r="32" spans="1:20" ht="15" x14ac:dyDescent="0.2">
      <c r="A32" s="649"/>
      <c r="B32" s="651"/>
      <c r="C32" s="651"/>
      <c r="D32" s="51" t="s">
        <v>228</v>
      </c>
      <c r="E32" s="52" t="s">
        <v>229</v>
      </c>
      <c r="F32" s="51" t="s">
        <v>228</v>
      </c>
      <c r="G32" s="52" t="s">
        <v>229</v>
      </c>
      <c r="H32" s="655"/>
      <c r="I32" s="656"/>
      <c r="J32" s="423" t="s">
        <v>230</v>
      </c>
      <c r="K32" s="53" t="s">
        <v>231</v>
      </c>
      <c r="L32" s="53" t="s">
        <v>500</v>
      </c>
      <c r="M32" s="53" t="s">
        <v>232</v>
      </c>
      <c r="N32" s="424" t="s">
        <v>233</v>
      </c>
      <c r="O32" s="423" t="s">
        <v>230</v>
      </c>
      <c r="P32" s="53" t="s">
        <v>231</v>
      </c>
      <c r="Q32" s="53" t="s">
        <v>500</v>
      </c>
      <c r="R32" s="53" t="s">
        <v>232</v>
      </c>
      <c r="S32" s="424" t="s">
        <v>233</v>
      </c>
      <c r="T32" s="647"/>
    </row>
    <row r="33" spans="1:20" x14ac:dyDescent="0.2">
      <c r="A33" s="30" t="s">
        <v>2</v>
      </c>
      <c r="B33" s="400">
        <v>73.72</v>
      </c>
      <c r="C33" s="61" t="s">
        <v>452</v>
      </c>
      <c r="D33" s="56">
        <v>2.1</v>
      </c>
      <c r="E33" s="57">
        <v>1070</v>
      </c>
      <c r="F33" s="56">
        <v>1.4</v>
      </c>
      <c r="G33" s="57">
        <v>535</v>
      </c>
      <c r="H33" s="58">
        <v>0.08</v>
      </c>
      <c r="I33" s="497">
        <v>250</v>
      </c>
      <c r="J33" s="33">
        <v>0.24</v>
      </c>
      <c r="K33" s="405">
        <v>3.0999999999999999E-3</v>
      </c>
      <c r="L33" s="405">
        <v>2.2000000000000001E-3</v>
      </c>
      <c r="M33" s="405">
        <v>2.0999999999999999E-3</v>
      </c>
      <c r="N33" s="406">
        <v>8.5999999999999998E-4</v>
      </c>
      <c r="O33" s="33">
        <v>0.09</v>
      </c>
      <c r="P33" s="405">
        <v>1.1999999999999999E-3</v>
      </c>
      <c r="Q33" s="405">
        <v>8.4999999999999995E-4</v>
      </c>
      <c r="R33" s="405">
        <v>7.9000000000000001E-4</v>
      </c>
      <c r="S33" s="406">
        <v>2.9E-4</v>
      </c>
      <c r="T33" s="113" t="s">
        <v>450</v>
      </c>
    </row>
    <row r="34" spans="1:20" ht="13.5" thickBot="1" x14ac:dyDescent="0.25">
      <c r="A34" s="42" t="s">
        <v>5</v>
      </c>
      <c r="B34" s="401">
        <v>115</v>
      </c>
      <c r="C34" s="234" t="s">
        <v>454</v>
      </c>
      <c r="D34" s="62">
        <v>2.1</v>
      </c>
      <c r="E34" s="63">
        <v>1070</v>
      </c>
      <c r="F34" s="62">
        <v>1.4</v>
      </c>
      <c r="G34" s="63">
        <v>535</v>
      </c>
      <c r="H34" s="64">
        <v>0.04</v>
      </c>
      <c r="I34" s="498">
        <v>250</v>
      </c>
      <c r="J34" s="45">
        <v>15.95</v>
      </c>
      <c r="K34" s="407">
        <v>0.2</v>
      </c>
      <c r="L34" s="407">
        <v>0.15</v>
      </c>
      <c r="M34" s="407">
        <v>0.14000000000000001</v>
      </c>
      <c r="N34" s="46">
        <v>0.06</v>
      </c>
      <c r="O34" s="45">
        <v>5.96</v>
      </c>
      <c r="P34" s="407">
        <v>7.0000000000000007E-2</v>
      </c>
      <c r="Q34" s="407">
        <v>0.05</v>
      </c>
      <c r="R34" s="407">
        <v>0.05</v>
      </c>
      <c r="S34" s="46">
        <v>0.02</v>
      </c>
      <c r="T34" s="114" t="s">
        <v>451</v>
      </c>
    </row>
  </sheetData>
  <sheetProtection sheet="1" objects="1" scenarios="1" formatCells="0" formatColumns="0" formatRows="0"/>
  <mergeCells count="33">
    <mergeCell ref="T2:T4"/>
    <mergeCell ref="C2:I2"/>
    <mergeCell ref="J2:N2"/>
    <mergeCell ref="O2:S2"/>
    <mergeCell ref="A3:A4"/>
    <mergeCell ref="C3:C4"/>
    <mergeCell ref="D3:E3"/>
    <mergeCell ref="F3:G3"/>
    <mergeCell ref="H3:H4"/>
    <mergeCell ref="I3:I4"/>
    <mergeCell ref="B3:B4"/>
    <mergeCell ref="C16:I16"/>
    <mergeCell ref="J16:N16"/>
    <mergeCell ref="O16:S16"/>
    <mergeCell ref="T16:T18"/>
    <mergeCell ref="A17:A18"/>
    <mergeCell ref="B17:B18"/>
    <mergeCell ref="C17:C18"/>
    <mergeCell ref="D17:E17"/>
    <mergeCell ref="F17:G17"/>
    <mergeCell ref="H17:H18"/>
    <mergeCell ref="I17:I18"/>
    <mergeCell ref="C30:I30"/>
    <mergeCell ref="J30:N30"/>
    <mergeCell ref="O30:S30"/>
    <mergeCell ref="T30:T32"/>
    <mergeCell ref="A31:A32"/>
    <mergeCell ref="B31:B32"/>
    <mergeCell ref="C31:C32"/>
    <mergeCell ref="D31:E31"/>
    <mergeCell ref="F31:G31"/>
    <mergeCell ref="H31:H32"/>
    <mergeCell ref="I31:I32"/>
  </mergeCells>
  <conditionalFormatting sqref="J6:S13 J20:S27 J33:S34">
    <cfRule type="cellIs" dxfId="7" priority="17" operator="lessThan">
      <formula>0.1</formula>
    </cfRule>
    <cfRule type="cellIs" dxfId="6" priority="18" operator="between">
      <formula>0.1</formula>
      <formula>0.999</formula>
    </cfRule>
    <cfRule type="cellIs" dxfId="5" priority="19" operator="between">
      <formula>1</formula>
      <formula>9.999</formula>
    </cfRule>
    <cfRule type="cellIs" dxfId="4" priority="20" operator="between">
      <formula>10</formula>
      <formula>9999.999</formula>
    </cfRule>
    <cfRule type="expression" dxfId="3" priority="21">
      <formula>"&gt;=10000"</formula>
    </cfRule>
    <cfRule type="cellIs" dxfId="2" priority="22" operator="lessThan">
      <formula>0.01</formula>
    </cfRule>
    <cfRule type="cellIs" dxfId="1" priority="23" operator="between">
      <formula>0.01</formula>
      <formula>1</formula>
    </cfRule>
    <cfRule type="cellIs" dxfId="0" priority="24" operator="greaterThanOrEqual">
      <formula>1</formula>
    </cfRule>
  </conditionalFormatting>
  <dataValidations count="1">
    <dataValidation allowBlank="1" showErrorMessage="1" sqref="J30:J34 J2:J13 O30:O34 O2:O13 O16:O27 J16:J27" xr:uid="{D5F4D61A-2434-486D-A7E9-1815C44BC4B1}"/>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FD2D-1231-47D2-9468-ED3D8CC8E060}">
  <sheetPr codeName="Sheet26">
    <tabColor theme="1"/>
  </sheetPr>
  <dimension ref="B2:AC22"/>
  <sheetViews>
    <sheetView zoomScale="78" zoomScaleNormal="78" workbookViewId="0">
      <selection activeCell="O12" sqref="O12"/>
    </sheetView>
  </sheetViews>
  <sheetFormatPr defaultColWidth="9.140625" defaultRowHeight="15" x14ac:dyDescent="0.25"/>
  <cols>
    <col min="1" max="1" width="2" style="352" customWidth="1"/>
    <col min="2" max="2" width="18.140625" style="259" customWidth="1"/>
    <col min="3" max="3" width="14.85546875" style="352" customWidth="1"/>
    <col min="4" max="5" width="14.85546875" style="259" customWidth="1"/>
    <col min="6" max="8" width="14.140625" style="352" customWidth="1"/>
    <col min="9" max="10" width="14.140625" style="259" customWidth="1"/>
    <col min="11" max="12" width="14.140625" style="352" customWidth="1"/>
    <col min="13" max="14" width="14.140625" style="259" customWidth="1"/>
    <col min="15" max="17" width="14.140625" style="352" customWidth="1"/>
    <col min="18" max="19" width="14.140625" style="259" customWidth="1"/>
    <col min="20" max="20" width="15.5703125" style="352" customWidth="1"/>
    <col min="21" max="27" width="14.140625" style="352" customWidth="1"/>
    <col min="28" max="28" width="18.7109375" style="352" customWidth="1"/>
    <col min="29" max="29" width="29.42578125" style="352" customWidth="1"/>
    <col min="30" max="16384" width="9.140625" style="352"/>
  </cols>
  <sheetData>
    <row r="2" spans="2:29" ht="15.75" thickBot="1" x14ac:dyDescent="0.3"/>
    <row r="3" spans="2:29" ht="15.75" thickBot="1" x14ac:dyDescent="0.3">
      <c r="D3" s="661" t="s">
        <v>237</v>
      </c>
      <c r="E3" s="662"/>
      <c r="F3" s="662"/>
      <c r="G3" s="662"/>
      <c r="H3" s="662"/>
      <c r="I3" s="662"/>
      <c r="J3" s="662"/>
      <c r="K3" s="662"/>
      <c r="L3" s="663"/>
      <c r="M3" s="664" t="s">
        <v>238</v>
      </c>
      <c r="N3" s="665"/>
      <c r="O3" s="665"/>
      <c r="P3" s="665"/>
      <c r="Q3" s="665"/>
      <c r="R3" s="665"/>
      <c r="S3" s="665"/>
      <c r="T3" s="665"/>
      <c r="U3" s="666"/>
      <c r="V3" s="664" t="s">
        <v>24</v>
      </c>
      <c r="W3" s="665"/>
      <c r="X3" s="665"/>
      <c r="Y3" s="665"/>
      <c r="Z3" s="665"/>
      <c r="AA3" s="665"/>
      <c r="AB3" s="666"/>
      <c r="AC3" s="660" t="s">
        <v>223</v>
      </c>
    </row>
    <row r="4" spans="2:29" ht="60.75" thickBot="1" x14ac:dyDescent="0.3">
      <c r="B4" s="522" t="s">
        <v>22</v>
      </c>
      <c r="C4" s="523" t="s">
        <v>239</v>
      </c>
      <c r="D4" s="353" t="s">
        <v>240</v>
      </c>
      <c r="E4" s="354" t="s">
        <v>241</v>
      </c>
      <c r="F4" s="354" t="s">
        <v>242</v>
      </c>
      <c r="G4" s="354" t="s">
        <v>243</v>
      </c>
      <c r="H4" s="355" t="s">
        <v>244</v>
      </c>
      <c r="I4" s="353" t="s">
        <v>245</v>
      </c>
      <c r="J4" s="354" t="s">
        <v>246</v>
      </c>
      <c r="K4" s="356" t="s">
        <v>247</v>
      </c>
      <c r="L4" s="355" t="s">
        <v>248</v>
      </c>
      <c r="M4" s="353" t="s">
        <v>249</v>
      </c>
      <c r="N4" s="354" t="s">
        <v>250</v>
      </c>
      <c r="O4" s="356" t="s">
        <v>242</v>
      </c>
      <c r="P4" s="354" t="s">
        <v>243</v>
      </c>
      <c r="Q4" s="355" t="s">
        <v>244</v>
      </c>
      <c r="R4" s="353" t="s">
        <v>251</v>
      </c>
      <c r="S4" s="354" t="s">
        <v>252</v>
      </c>
      <c r="T4" s="354" t="s">
        <v>247</v>
      </c>
      <c r="U4" s="357" t="s">
        <v>248</v>
      </c>
      <c r="V4" s="353" t="s">
        <v>253</v>
      </c>
      <c r="W4" s="354" t="s">
        <v>254</v>
      </c>
      <c r="X4" s="356" t="s">
        <v>255</v>
      </c>
      <c r="Y4" s="355" t="s">
        <v>256</v>
      </c>
      <c r="Z4" s="353" t="s">
        <v>257</v>
      </c>
      <c r="AA4" s="354" t="s">
        <v>258</v>
      </c>
      <c r="AB4" s="355" t="s">
        <v>259</v>
      </c>
      <c r="AC4" s="660"/>
    </row>
    <row r="5" spans="2:29" ht="60" x14ac:dyDescent="0.25">
      <c r="B5" s="517" t="s">
        <v>0</v>
      </c>
      <c r="C5" s="519">
        <v>98.96</v>
      </c>
      <c r="D5" s="348" t="s">
        <v>260</v>
      </c>
      <c r="E5" s="347" t="s">
        <v>261</v>
      </c>
      <c r="F5" s="358">
        <v>9.7799999999999994</v>
      </c>
      <c r="G5" s="359">
        <f t="shared" ref="G5:G14" si="0">F5*24.45/C5</f>
        <v>2.4163399353274051</v>
      </c>
      <c r="H5" s="360">
        <v>30</v>
      </c>
      <c r="I5" s="361" t="s">
        <v>262</v>
      </c>
      <c r="J5" s="362" t="s">
        <v>263</v>
      </c>
      <c r="K5" s="363">
        <v>19.899999999999999</v>
      </c>
      <c r="L5" s="364">
        <v>30</v>
      </c>
      <c r="M5" s="348" t="s">
        <v>264</v>
      </c>
      <c r="N5" s="347" t="s">
        <v>265</v>
      </c>
      <c r="O5" s="365">
        <v>21.2</v>
      </c>
      <c r="P5" s="366">
        <f t="shared" ref="P5:P10" si="1">O5*24.45/C5</f>
        <v>5.2378738884397729</v>
      </c>
      <c r="Q5" s="360">
        <v>300</v>
      </c>
      <c r="R5" s="361" t="s">
        <v>262</v>
      </c>
      <c r="S5" s="362" t="s">
        <v>266</v>
      </c>
      <c r="T5" s="359">
        <v>6.5</v>
      </c>
      <c r="U5" s="367">
        <v>300</v>
      </c>
      <c r="V5" s="361" t="s">
        <v>267</v>
      </c>
      <c r="W5" s="362" t="s">
        <v>268</v>
      </c>
      <c r="X5" s="368">
        <v>7.0999999999999998E-6</v>
      </c>
      <c r="Y5" s="385">
        <f t="shared" ref="Y5:Y8" si="2">X5*1000*(C5/24.45)</f>
        <v>2.8736850715746418E-2</v>
      </c>
      <c r="Z5" s="384" t="s">
        <v>269</v>
      </c>
      <c r="AA5" s="351" t="s">
        <v>268</v>
      </c>
      <c r="AB5" s="385">
        <v>3.9E-2</v>
      </c>
      <c r="AC5" s="365"/>
    </row>
    <row r="6" spans="2:29" ht="75" x14ac:dyDescent="0.25">
      <c r="B6" s="518" t="s">
        <v>468</v>
      </c>
      <c r="C6" s="364">
        <v>98.96</v>
      </c>
      <c r="D6" s="348" t="s">
        <v>260</v>
      </c>
      <c r="E6" s="347" t="s">
        <v>261</v>
      </c>
      <c r="F6" s="358">
        <v>9.7799999999999994</v>
      </c>
      <c r="G6" s="359">
        <f t="shared" si="0"/>
        <v>2.4163399353274051</v>
      </c>
      <c r="H6" s="360">
        <v>30</v>
      </c>
      <c r="I6" s="361" t="s">
        <v>262</v>
      </c>
      <c r="J6" s="362" t="s">
        <v>263</v>
      </c>
      <c r="K6" s="363">
        <v>19.899999999999999</v>
      </c>
      <c r="L6" s="364">
        <v>30</v>
      </c>
      <c r="M6" s="348" t="s">
        <v>264</v>
      </c>
      <c r="N6" s="347" t="s">
        <v>265</v>
      </c>
      <c r="O6" s="365">
        <v>21.2</v>
      </c>
      <c r="P6" s="366">
        <f t="shared" si="1"/>
        <v>5.2378738884397729</v>
      </c>
      <c r="Q6" s="360">
        <v>300</v>
      </c>
      <c r="R6" s="361" t="s">
        <v>262</v>
      </c>
      <c r="S6" s="362" t="s">
        <v>266</v>
      </c>
      <c r="T6" s="359">
        <v>6.5</v>
      </c>
      <c r="U6" s="367">
        <v>300</v>
      </c>
      <c r="V6" s="361" t="s">
        <v>267</v>
      </c>
      <c r="W6" s="362" t="s">
        <v>268</v>
      </c>
      <c r="X6" s="368">
        <v>7.0999999999999998E-6</v>
      </c>
      <c r="Y6" s="385">
        <f t="shared" si="2"/>
        <v>2.8736850715746418E-2</v>
      </c>
      <c r="Z6" s="384" t="s">
        <v>156</v>
      </c>
      <c r="AA6" s="351" t="s">
        <v>156</v>
      </c>
      <c r="AB6" s="383" t="s">
        <v>270</v>
      </c>
      <c r="AC6" s="365"/>
    </row>
    <row r="7" spans="2:29" ht="75" x14ac:dyDescent="0.25">
      <c r="B7" s="518" t="s">
        <v>469</v>
      </c>
      <c r="C7" s="364">
        <v>98.96</v>
      </c>
      <c r="D7" s="348" t="s">
        <v>260</v>
      </c>
      <c r="E7" s="347" t="s">
        <v>261</v>
      </c>
      <c r="F7" s="358">
        <v>9.7799999999999994</v>
      </c>
      <c r="G7" s="359">
        <f t="shared" si="0"/>
        <v>2.4163399353274051</v>
      </c>
      <c r="H7" s="360">
        <v>30</v>
      </c>
      <c r="I7" s="361" t="s">
        <v>262</v>
      </c>
      <c r="J7" s="362" t="s">
        <v>263</v>
      </c>
      <c r="K7" s="363">
        <v>19.899999999999999</v>
      </c>
      <c r="L7" s="364">
        <v>30</v>
      </c>
      <c r="M7" s="348" t="s">
        <v>264</v>
      </c>
      <c r="N7" s="347" t="s">
        <v>265</v>
      </c>
      <c r="O7" s="365">
        <v>21.2</v>
      </c>
      <c r="P7" s="366">
        <f t="shared" si="1"/>
        <v>5.2378738884397729</v>
      </c>
      <c r="Q7" s="360">
        <v>300</v>
      </c>
      <c r="R7" s="361" t="s">
        <v>262</v>
      </c>
      <c r="S7" s="362" t="s">
        <v>266</v>
      </c>
      <c r="T7" s="359">
        <v>6.5</v>
      </c>
      <c r="U7" s="367">
        <v>300</v>
      </c>
      <c r="V7" s="361" t="s">
        <v>267</v>
      </c>
      <c r="W7" s="362" t="s">
        <v>268</v>
      </c>
      <c r="X7" s="368">
        <v>7.0999999999999998E-6</v>
      </c>
      <c r="Y7" s="385">
        <f t="shared" si="2"/>
        <v>2.8736850715746418E-2</v>
      </c>
      <c r="Z7" s="384" t="s">
        <v>156</v>
      </c>
      <c r="AA7" s="351" t="s">
        <v>156</v>
      </c>
      <c r="AB7" s="383" t="s">
        <v>270</v>
      </c>
      <c r="AC7" s="365"/>
    </row>
    <row r="8" spans="2:29" ht="75" x14ac:dyDescent="0.25">
      <c r="B8" s="518" t="s">
        <v>470</v>
      </c>
      <c r="C8" s="364">
        <v>98.96</v>
      </c>
      <c r="D8" s="348" t="s">
        <v>260</v>
      </c>
      <c r="E8" s="347" t="s">
        <v>261</v>
      </c>
      <c r="F8" s="358">
        <v>9.7799999999999994</v>
      </c>
      <c r="G8" s="359">
        <f t="shared" si="0"/>
        <v>2.4163399353274051</v>
      </c>
      <c r="H8" s="360">
        <v>30</v>
      </c>
      <c r="I8" s="361" t="s">
        <v>262</v>
      </c>
      <c r="J8" s="362" t="s">
        <v>263</v>
      </c>
      <c r="K8" s="363">
        <v>19.899999999999999</v>
      </c>
      <c r="L8" s="364">
        <v>30</v>
      </c>
      <c r="M8" s="348" t="s">
        <v>264</v>
      </c>
      <c r="N8" s="347" t="s">
        <v>265</v>
      </c>
      <c r="O8" s="365">
        <v>21.2</v>
      </c>
      <c r="P8" s="366">
        <f t="shared" si="1"/>
        <v>5.2378738884397729</v>
      </c>
      <c r="Q8" s="360">
        <v>300</v>
      </c>
      <c r="R8" s="361" t="s">
        <v>262</v>
      </c>
      <c r="S8" s="362" t="s">
        <v>266</v>
      </c>
      <c r="T8" s="359">
        <v>6.5</v>
      </c>
      <c r="U8" s="367">
        <v>300</v>
      </c>
      <c r="V8" s="361" t="s">
        <v>267</v>
      </c>
      <c r="W8" s="362" t="s">
        <v>268</v>
      </c>
      <c r="X8" s="368">
        <v>7.0999999999999998E-6</v>
      </c>
      <c r="Y8" s="385">
        <f t="shared" si="2"/>
        <v>2.8736850715746418E-2</v>
      </c>
      <c r="Z8" s="384" t="s">
        <v>156</v>
      </c>
      <c r="AA8" s="351" t="s">
        <v>156</v>
      </c>
      <c r="AB8" s="383" t="s">
        <v>270</v>
      </c>
      <c r="AC8" s="365"/>
    </row>
    <row r="9" spans="2:29" ht="75" x14ac:dyDescent="0.25">
      <c r="B9" s="518" t="s">
        <v>471</v>
      </c>
      <c r="C9" s="364">
        <v>98.96</v>
      </c>
      <c r="D9" s="348" t="s">
        <v>260</v>
      </c>
      <c r="E9" s="347" t="s">
        <v>261</v>
      </c>
      <c r="F9" s="358">
        <v>9.7799999999999994</v>
      </c>
      <c r="G9" s="359">
        <f t="shared" si="0"/>
        <v>2.4163399353274051</v>
      </c>
      <c r="H9" s="360">
        <v>30</v>
      </c>
      <c r="I9" s="361" t="s">
        <v>262</v>
      </c>
      <c r="J9" s="362" t="s">
        <v>263</v>
      </c>
      <c r="K9" s="363">
        <v>19.899999999999999</v>
      </c>
      <c r="L9" s="364">
        <v>30</v>
      </c>
      <c r="M9" s="348" t="s">
        <v>264</v>
      </c>
      <c r="N9" s="347" t="s">
        <v>265</v>
      </c>
      <c r="O9" s="365">
        <v>21.2</v>
      </c>
      <c r="P9" s="366">
        <f t="shared" si="1"/>
        <v>5.2378738884397729</v>
      </c>
      <c r="Q9" s="360">
        <v>300</v>
      </c>
      <c r="R9" s="361" t="s">
        <v>262</v>
      </c>
      <c r="S9" s="362" t="s">
        <v>266</v>
      </c>
      <c r="T9" s="359">
        <v>6.5</v>
      </c>
      <c r="U9" s="367">
        <v>300</v>
      </c>
      <c r="V9" s="361" t="s">
        <v>267</v>
      </c>
      <c r="W9" s="362" t="s">
        <v>268</v>
      </c>
      <c r="X9" s="368">
        <v>7.0999999999999998E-6</v>
      </c>
      <c r="Y9" s="385">
        <f>X9*1000*(C9/24.45)</f>
        <v>2.8736850715746418E-2</v>
      </c>
      <c r="Z9" s="384" t="s">
        <v>156</v>
      </c>
      <c r="AA9" s="351" t="s">
        <v>156</v>
      </c>
      <c r="AB9" s="383" t="s">
        <v>270</v>
      </c>
      <c r="AC9" s="365"/>
    </row>
    <row r="10" spans="2:29" ht="60" x14ac:dyDescent="0.25">
      <c r="B10" s="518" t="s">
        <v>1</v>
      </c>
      <c r="C10" s="364">
        <v>98.96</v>
      </c>
      <c r="D10" s="348" t="s">
        <v>260</v>
      </c>
      <c r="E10" s="347" t="s">
        <v>261</v>
      </c>
      <c r="F10" s="358">
        <v>9.7799999999999994</v>
      </c>
      <c r="G10" s="359">
        <f t="shared" si="0"/>
        <v>2.4163399353274051</v>
      </c>
      <c r="H10" s="360">
        <v>30</v>
      </c>
      <c r="I10" s="361" t="s">
        <v>262</v>
      </c>
      <c r="J10" s="362" t="s">
        <v>263</v>
      </c>
      <c r="K10" s="363">
        <v>19.899999999999999</v>
      </c>
      <c r="L10" s="364">
        <v>30</v>
      </c>
      <c r="M10" s="348" t="s">
        <v>264</v>
      </c>
      <c r="N10" s="347" t="s">
        <v>265</v>
      </c>
      <c r="O10" s="365">
        <v>21.2</v>
      </c>
      <c r="P10" s="366">
        <f t="shared" si="1"/>
        <v>5.2378738884397729</v>
      </c>
      <c r="Q10" s="360">
        <v>300</v>
      </c>
      <c r="R10" s="361" t="s">
        <v>262</v>
      </c>
      <c r="S10" s="362" t="s">
        <v>266</v>
      </c>
      <c r="T10" s="359">
        <v>6.5</v>
      </c>
      <c r="U10" s="367">
        <v>300</v>
      </c>
      <c r="V10" s="361" t="s">
        <v>267</v>
      </c>
      <c r="W10" s="362" t="s">
        <v>268</v>
      </c>
      <c r="X10" s="368">
        <v>7.0999999999999998E-6</v>
      </c>
      <c r="Y10" s="385">
        <f>X10*1000*(C10/24.45)</f>
        <v>2.8736850715746418E-2</v>
      </c>
      <c r="Z10" s="384" t="s">
        <v>156</v>
      </c>
      <c r="AA10" s="351" t="s">
        <v>156</v>
      </c>
      <c r="AB10" s="383" t="s">
        <v>270</v>
      </c>
      <c r="AC10" s="365"/>
    </row>
    <row r="11" spans="2:29" ht="75" x14ac:dyDescent="0.25">
      <c r="B11" s="520" t="s">
        <v>2</v>
      </c>
      <c r="C11" s="521">
        <v>131.4</v>
      </c>
      <c r="D11" s="348" t="s">
        <v>271</v>
      </c>
      <c r="E11" s="347" t="s">
        <v>272</v>
      </c>
      <c r="F11" s="359">
        <v>5.2</v>
      </c>
      <c r="G11" s="359">
        <f>F11*24.45/C11</f>
        <v>0.96757990867579902</v>
      </c>
      <c r="H11" s="360">
        <v>10</v>
      </c>
      <c r="I11" s="361" t="s">
        <v>271</v>
      </c>
      <c r="J11" s="362" t="s">
        <v>272</v>
      </c>
      <c r="K11" s="369">
        <v>1.34</v>
      </c>
      <c r="L11" s="364">
        <v>10</v>
      </c>
      <c r="M11" s="348" t="s">
        <v>273</v>
      </c>
      <c r="N11" s="347" t="s">
        <v>274</v>
      </c>
      <c r="O11" s="365">
        <v>0.17699999999999999</v>
      </c>
      <c r="P11" s="359">
        <f>O11*24.45/C11</f>
        <v>3.2934931506849306E-2</v>
      </c>
      <c r="Q11" s="360">
        <v>30</v>
      </c>
      <c r="R11" s="361" t="s">
        <v>273</v>
      </c>
      <c r="S11" s="362" t="s">
        <v>274</v>
      </c>
      <c r="T11" s="370">
        <v>4.8000000000000001E-2</v>
      </c>
      <c r="U11" s="367">
        <v>30</v>
      </c>
      <c r="V11" s="361" t="s">
        <v>275</v>
      </c>
      <c r="W11" s="362" t="s">
        <v>276</v>
      </c>
      <c r="X11" s="368">
        <f>Y11*(24.45/C11)/1000</f>
        <v>4.0936073059360728E-6</v>
      </c>
      <c r="Y11" s="385">
        <v>2.1999999999999999E-2</v>
      </c>
      <c r="Z11" s="384" t="s">
        <v>275</v>
      </c>
      <c r="AA11" s="351" t="s">
        <v>276</v>
      </c>
      <c r="AB11" s="385">
        <v>4.6399999999999997E-2</v>
      </c>
      <c r="AC11" s="365"/>
    </row>
    <row r="12" spans="2:29" ht="120" x14ac:dyDescent="0.25">
      <c r="B12" s="348" t="s">
        <v>3</v>
      </c>
      <c r="C12" s="364">
        <v>165.82</v>
      </c>
      <c r="D12" s="348" t="s">
        <v>277</v>
      </c>
      <c r="E12" s="347" t="s">
        <v>278</v>
      </c>
      <c r="F12" s="366">
        <v>11.5</v>
      </c>
      <c r="G12" s="359">
        <f>F12*24.45/C12</f>
        <v>1.6956639729827525</v>
      </c>
      <c r="H12" s="360">
        <v>10</v>
      </c>
      <c r="I12" s="361" t="s">
        <v>279</v>
      </c>
      <c r="J12" s="362" t="s">
        <v>278</v>
      </c>
      <c r="K12" s="369">
        <v>2.1</v>
      </c>
      <c r="L12" s="364">
        <v>10</v>
      </c>
      <c r="M12" s="348" t="s">
        <v>280</v>
      </c>
      <c r="N12" s="347" t="s">
        <v>281</v>
      </c>
      <c r="O12" s="365">
        <v>35.299999999999997</v>
      </c>
      <c r="P12" s="359">
        <f>O12*24.45/C12</f>
        <v>5.2049511518514047</v>
      </c>
      <c r="Q12" s="360">
        <v>100</v>
      </c>
      <c r="R12" s="361" t="s">
        <v>282</v>
      </c>
      <c r="S12" s="362" t="s">
        <v>281</v>
      </c>
      <c r="T12" s="358">
        <v>6.2</v>
      </c>
      <c r="U12" s="367">
        <v>100</v>
      </c>
      <c r="V12" s="361" t="s">
        <v>283</v>
      </c>
      <c r="W12" s="362" t="s">
        <v>284</v>
      </c>
      <c r="X12" s="368">
        <v>2.9999999999999999E-7</v>
      </c>
      <c r="Y12" s="385">
        <f>X12*1000*(C12/24.45)</f>
        <v>2.0346012269938647E-3</v>
      </c>
      <c r="Z12" s="384" t="s">
        <v>285</v>
      </c>
      <c r="AA12" s="351" t="s">
        <v>286</v>
      </c>
      <c r="AB12" s="385">
        <v>2E-3</v>
      </c>
      <c r="AC12" s="365"/>
    </row>
    <row r="13" spans="2:29" ht="90" x14ac:dyDescent="0.25">
      <c r="B13" s="348" t="s">
        <v>461</v>
      </c>
      <c r="C13" s="364">
        <v>84.93</v>
      </c>
      <c r="D13" s="348" t="s">
        <v>287</v>
      </c>
      <c r="E13" s="347" t="s">
        <v>288</v>
      </c>
      <c r="F13" s="366">
        <v>174</v>
      </c>
      <c r="G13" s="358">
        <f t="shared" si="0"/>
        <v>50.091840339102788</v>
      </c>
      <c r="H13" s="360">
        <v>30</v>
      </c>
      <c r="I13" s="361" t="s">
        <v>289</v>
      </c>
      <c r="J13" s="362" t="s">
        <v>288</v>
      </c>
      <c r="K13" s="371">
        <v>32</v>
      </c>
      <c r="L13" s="364">
        <v>30</v>
      </c>
      <c r="M13" s="348" t="s">
        <v>290</v>
      </c>
      <c r="N13" s="347" t="s">
        <v>291</v>
      </c>
      <c r="O13" s="365">
        <v>17.2</v>
      </c>
      <c r="P13" s="358">
        <f>O13*24.45/C13</f>
        <v>4.9516072059342982</v>
      </c>
      <c r="Q13" s="360">
        <v>10</v>
      </c>
      <c r="R13" s="361" t="s">
        <v>282</v>
      </c>
      <c r="S13" s="362" t="s">
        <v>291</v>
      </c>
      <c r="T13" s="359">
        <v>3</v>
      </c>
      <c r="U13" s="367">
        <v>10</v>
      </c>
      <c r="V13" s="361" t="s">
        <v>292</v>
      </c>
      <c r="W13" s="362" t="s">
        <v>293</v>
      </c>
      <c r="X13" s="368">
        <v>5.7999999999999998E-9</v>
      </c>
      <c r="Y13" s="385">
        <f>X13*1000*(C13/24.45)</f>
        <v>2.0146993865030676E-5</v>
      </c>
      <c r="Z13" s="384" t="s">
        <v>269</v>
      </c>
      <c r="AA13" s="351" t="s">
        <v>293</v>
      </c>
      <c r="AB13" s="386">
        <v>3.1999999999999999E-5</v>
      </c>
      <c r="AC13" s="365"/>
    </row>
    <row r="14" spans="2:29" ht="60.75" thickBot="1" x14ac:dyDescent="0.3">
      <c r="B14" s="524" t="s">
        <v>5</v>
      </c>
      <c r="C14" s="378">
        <v>153.82</v>
      </c>
      <c r="D14" s="349" t="s">
        <v>294</v>
      </c>
      <c r="E14" s="350" t="s">
        <v>295</v>
      </c>
      <c r="F14" s="372">
        <v>234</v>
      </c>
      <c r="G14" s="373">
        <f t="shared" si="0"/>
        <v>37.194773111428944</v>
      </c>
      <c r="H14" s="374">
        <v>10</v>
      </c>
      <c r="I14" s="375" t="s">
        <v>296</v>
      </c>
      <c r="J14" s="376" t="s">
        <v>297</v>
      </c>
      <c r="K14" s="377">
        <v>17</v>
      </c>
      <c r="L14" s="378">
        <v>30</v>
      </c>
      <c r="M14" s="349" t="s">
        <v>296</v>
      </c>
      <c r="N14" s="350" t="s">
        <v>297</v>
      </c>
      <c r="O14" s="379">
        <v>14.3</v>
      </c>
      <c r="P14" s="380">
        <f>O14*24.45/C14</f>
        <v>2.2730139123651023</v>
      </c>
      <c r="Q14" s="374">
        <v>30</v>
      </c>
      <c r="R14" s="375" t="s">
        <v>296</v>
      </c>
      <c r="S14" s="376" t="s">
        <v>297</v>
      </c>
      <c r="T14" s="380">
        <v>1.7</v>
      </c>
      <c r="U14" s="381">
        <v>30</v>
      </c>
      <c r="V14" s="375" t="s">
        <v>298</v>
      </c>
      <c r="W14" s="376" t="s">
        <v>297</v>
      </c>
      <c r="X14" s="408">
        <v>6.0000000000000002E-6</v>
      </c>
      <c r="Y14" s="409">
        <f>X14*1000*(C14/24.45)</f>
        <v>3.7747239263803682E-2</v>
      </c>
      <c r="Z14" s="387" t="s">
        <v>298</v>
      </c>
      <c r="AA14" s="388" t="s">
        <v>297</v>
      </c>
      <c r="AB14" s="389">
        <v>0.05</v>
      </c>
      <c r="AC14" s="365"/>
    </row>
    <row r="21" spans="2:2" x14ac:dyDescent="0.25">
      <c r="B21" s="382"/>
    </row>
    <row r="22" spans="2:2" x14ac:dyDescent="0.25">
      <c r="B22" s="382"/>
    </row>
  </sheetData>
  <sheetProtection sheet="1" objects="1" scenarios="1" formatCells="0" formatColumns="0" formatRows="0"/>
  <mergeCells count="4">
    <mergeCell ref="AC3:AC4"/>
    <mergeCell ref="D3:L3"/>
    <mergeCell ref="M3:U3"/>
    <mergeCell ref="V3:AB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0617-A90F-4336-AAB0-EE29FFC61CED}">
  <sheetPr codeName="Sheet27">
    <tabColor theme="1"/>
  </sheetPr>
  <dimension ref="A1:P23"/>
  <sheetViews>
    <sheetView workbookViewId="0">
      <selection activeCell="A2" sqref="A2"/>
    </sheetView>
  </sheetViews>
  <sheetFormatPr defaultRowHeight="15" x14ac:dyDescent="0.25"/>
  <cols>
    <col min="1" max="1" width="55.28515625" customWidth="1"/>
    <col min="3" max="3" width="27.7109375" customWidth="1"/>
    <col min="4" max="4" width="10.28515625" customWidth="1"/>
    <col min="5" max="5" width="13.140625" customWidth="1"/>
    <col min="8" max="8" width="10.42578125" customWidth="1"/>
    <col min="10" max="10" width="14.140625" customWidth="1"/>
    <col min="16" max="16" width="137.5703125" customWidth="1"/>
  </cols>
  <sheetData>
    <row r="1" spans="1:16" ht="15.75" x14ac:dyDescent="0.25">
      <c r="A1" s="231" t="s">
        <v>202</v>
      </c>
    </row>
    <row r="2" spans="1:16" ht="15.75" thickBot="1" x14ac:dyDescent="0.3"/>
    <row r="3" spans="1:16" ht="30" x14ac:dyDescent="0.25">
      <c r="A3" s="123" t="s">
        <v>299</v>
      </c>
      <c r="B3" s="124" t="s">
        <v>300</v>
      </c>
      <c r="C3" s="124" t="s">
        <v>22</v>
      </c>
      <c r="D3" s="124" t="s">
        <v>239</v>
      </c>
      <c r="E3" s="124" t="s">
        <v>301</v>
      </c>
      <c r="F3" s="124" t="s">
        <v>302</v>
      </c>
      <c r="G3" s="124" t="s">
        <v>303</v>
      </c>
      <c r="H3" s="124" t="s">
        <v>304</v>
      </c>
      <c r="I3" s="124" t="s">
        <v>305</v>
      </c>
      <c r="J3" s="125" t="s">
        <v>306</v>
      </c>
    </row>
    <row r="4" spans="1:16" x14ac:dyDescent="0.25">
      <c r="A4" s="126" t="s">
        <v>307</v>
      </c>
      <c r="B4" s="109">
        <v>107062</v>
      </c>
      <c r="C4" s="109" t="s">
        <v>0</v>
      </c>
      <c r="D4" s="109">
        <v>98.96</v>
      </c>
      <c r="E4" s="127">
        <v>0.98939999999999995</v>
      </c>
      <c r="F4" s="109">
        <v>98.94</v>
      </c>
      <c r="G4" s="112">
        <f>F4/D4</f>
        <v>0.99979789814066289</v>
      </c>
      <c r="H4" s="112">
        <f t="shared" ref="H4:H9" si="0">G4/$G$10</f>
        <v>0.99481684568128637</v>
      </c>
      <c r="I4" s="128">
        <f>H4</f>
        <v>0.99481684568128637</v>
      </c>
      <c r="J4" s="129">
        <f>$I$4</f>
        <v>0.99481684568128637</v>
      </c>
    </row>
    <row r="5" spans="1:16" x14ac:dyDescent="0.25">
      <c r="A5" s="126" t="s">
        <v>308</v>
      </c>
      <c r="B5" s="109">
        <v>75343</v>
      </c>
      <c r="C5" s="109" t="s">
        <v>1</v>
      </c>
      <c r="D5" s="109">
        <v>98.96</v>
      </c>
      <c r="E5" s="127">
        <v>2.9099999999999998E-3</v>
      </c>
      <c r="F5" s="109">
        <v>0.29099999999999998</v>
      </c>
      <c r="G5" s="112">
        <f t="shared" ref="G5:G9" si="1">F5/D5</f>
        <v>2.940582053354891E-3</v>
      </c>
      <c r="H5" s="112">
        <f t="shared" si="0"/>
        <v>2.925931899062607E-3</v>
      </c>
      <c r="I5" s="127">
        <f t="shared" ref="I5:I9" si="2">H5</f>
        <v>2.925931899062607E-3</v>
      </c>
      <c r="J5" s="129">
        <f t="shared" ref="J5:J9" si="3">$I$4</f>
        <v>0.99481684568128637</v>
      </c>
    </row>
    <row r="6" spans="1:16" x14ac:dyDescent="0.25">
      <c r="A6" s="126" t="s">
        <v>309</v>
      </c>
      <c r="B6" s="109">
        <v>79016</v>
      </c>
      <c r="C6" s="109" t="s">
        <v>2</v>
      </c>
      <c r="D6" s="109">
        <v>131.4</v>
      </c>
      <c r="E6" s="127">
        <v>3.4999999999999997E-5</v>
      </c>
      <c r="F6" s="109">
        <v>3.5000000000000001E-3</v>
      </c>
      <c r="G6" s="112">
        <f t="shared" si="1"/>
        <v>2.6636225266362252E-5</v>
      </c>
      <c r="H6" s="112">
        <f t="shared" si="0"/>
        <v>2.6503522011416169E-5</v>
      </c>
      <c r="I6" s="127">
        <f t="shared" si="2"/>
        <v>2.6503522011416169E-5</v>
      </c>
      <c r="J6" s="129">
        <f t="shared" si="3"/>
        <v>0.99481684568128637</v>
      </c>
    </row>
    <row r="7" spans="1:16" x14ac:dyDescent="0.25">
      <c r="A7" s="126" t="s">
        <v>310</v>
      </c>
      <c r="B7" s="109">
        <v>127184</v>
      </c>
      <c r="C7" s="109" t="s">
        <v>3</v>
      </c>
      <c r="D7" s="109">
        <v>165.82</v>
      </c>
      <c r="E7" s="127">
        <v>1.4999999999999999E-4</v>
      </c>
      <c r="F7" s="109">
        <v>1.4999999999999999E-2</v>
      </c>
      <c r="G7" s="112">
        <f t="shared" si="1"/>
        <v>9.0459534434929439E-5</v>
      </c>
      <c r="H7" s="112">
        <f t="shared" si="0"/>
        <v>9.0008859666249573E-5</v>
      </c>
      <c r="I7" s="127">
        <f t="shared" si="2"/>
        <v>9.0008859666249573E-5</v>
      </c>
      <c r="J7" s="129">
        <f t="shared" si="3"/>
        <v>0.99481684568128637</v>
      </c>
    </row>
    <row r="8" spans="1:16" x14ac:dyDescent="0.25">
      <c r="A8" s="126" t="s">
        <v>311</v>
      </c>
      <c r="B8" s="109">
        <v>75092</v>
      </c>
      <c r="C8" s="109" t="s">
        <v>461</v>
      </c>
      <c r="D8" s="109">
        <v>84.93</v>
      </c>
      <c r="E8" s="127">
        <v>9.990000000000001E-4</v>
      </c>
      <c r="F8" s="109">
        <v>9.9900000000000003E-2</v>
      </c>
      <c r="G8" s="112">
        <f t="shared" si="1"/>
        <v>1.1762628046626633E-3</v>
      </c>
      <c r="H8" s="112">
        <f t="shared" si="0"/>
        <v>1.1704025935670667E-3</v>
      </c>
      <c r="I8" s="127">
        <f t="shared" si="2"/>
        <v>1.1704025935670667E-3</v>
      </c>
      <c r="J8" s="129">
        <f t="shared" si="3"/>
        <v>0.99481684568128637</v>
      </c>
    </row>
    <row r="9" spans="1:16" ht="15.75" thickBot="1" x14ac:dyDescent="0.3">
      <c r="A9" s="130" t="s">
        <v>312</v>
      </c>
      <c r="B9" s="131">
        <v>56235</v>
      </c>
      <c r="C9" s="131" t="s">
        <v>5</v>
      </c>
      <c r="D9" s="236">
        <v>153.82</v>
      </c>
      <c r="E9" s="237">
        <v>1.5E-3</v>
      </c>
      <c r="F9" s="236">
        <v>0.15</v>
      </c>
      <c r="G9" s="238">
        <f t="shared" si="1"/>
        <v>9.7516577818229102E-4</v>
      </c>
      <c r="H9" s="238">
        <f t="shared" si="0"/>
        <v>9.7030744440628695E-4</v>
      </c>
      <c r="I9" s="237">
        <f t="shared" si="2"/>
        <v>9.7030744440628695E-4</v>
      </c>
      <c r="J9" s="132">
        <f t="shared" si="3"/>
        <v>0.99481684568128637</v>
      </c>
    </row>
    <row r="10" spans="1:16" ht="15.75" thickBot="1" x14ac:dyDescent="0.3">
      <c r="D10" s="239" t="s">
        <v>313</v>
      </c>
      <c r="E10" s="240">
        <f>SUM(E4:E9)</f>
        <v>0.99499399999999982</v>
      </c>
      <c r="F10" s="241">
        <f>SUM(F4:F9)</f>
        <v>99.499400000000009</v>
      </c>
      <c r="G10" s="242">
        <f>SUM(G4:G9)</f>
        <v>1.005007004536564</v>
      </c>
      <c r="H10" s="243">
        <f>SUM(H4:H9)</f>
        <v>1</v>
      </c>
      <c r="I10" s="244">
        <f>SUM(I4:I9)</f>
        <v>1</v>
      </c>
    </row>
    <row r="11" spans="1:16" x14ac:dyDescent="0.25">
      <c r="E11" s="133"/>
      <c r="F11" s="134"/>
      <c r="G11" s="116"/>
      <c r="H11" s="115"/>
      <c r="I11" s="135"/>
    </row>
    <row r="13" spans="1:16" ht="15.75" x14ac:dyDescent="0.25">
      <c r="A13" s="232" t="s">
        <v>219</v>
      </c>
    </row>
    <row r="14" spans="1:16" ht="15.75" thickBot="1" x14ac:dyDescent="0.3"/>
    <row r="15" spans="1:16" ht="15.75" thickBot="1" x14ac:dyDescent="0.3">
      <c r="A15" s="192"/>
      <c r="B15" s="193"/>
      <c r="C15" s="193"/>
      <c r="D15" s="193"/>
      <c r="E15" s="667" t="s">
        <v>314</v>
      </c>
      <c r="F15" s="668"/>
      <c r="G15" s="668"/>
      <c r="H15" s="669"/>
      <c r="I15" s="670" t="s">
        <v>315</v>
      </c>
      <c r="J15" s="671"/>
      <c r="K15" s="671"/>
      <c r="L15" s="672"/>
      <c r="M15" s="425"/>
      <c r="N15" s="426"/>
      <c r="O15" s="427"/>
      <c r="P15" s="193"/>
    </row>
    <row r="16" spans="1:16" ht="75" x14ac:dyDescent="0.25">
      <c r="A16" s="428" t="s">
        <v>299</v>
      </c>
      <c r="B16" s="429" t="s">
        <v>300</v>
      </c>
      <c r="C16" s="429" t="s">
        <v>22</v>
      </c>
      <c r="D16" s="194" t="s">
        <v>239</v>
      </c>
      <c r="E16" s="428" t="s">
        <v>316</v>
      </c>
      <c r="F16" s="429" t="s">
        <v>317</v>
      </c>
      <c r="G16" s="429" t="s">
        <v>318</v>
      </c>
      <c r="H16" s="430" t="s">
        <v>319</v>
      </c>
      <c r="I16" s="428" t="s">
        <v>316</v>
      </c>
      <c r="J16" s="429" t="s">
        <v>317</v>
      </c>
      <c r="K16" s="429" t="s">
        <v>318</v>
      </c>
      <c r="L16" s="430" t="s">
        <v>319</v>
      </c>
      <c r="M16" s="123" t="s">
        <v>320</v>
      </c>
      <c r="N16" s="426" t="s">
        <v>321</v>
      </c>
      <c r="O16" s="430" t="s">
        <v>322</v>
      </c>
      <c r="P16" s="427" t="s">
        <v>323</v>
      </c>
    </row>
    <row r="17" spans="1:16" x14ac:dyDescent="0.25">
      <c r="A17" s="126" t="s">
        <v>307</v>
      </c>
      <c r="B17" s="109">
        <v>107062</v>
      </c>
      <c r="C17" s="109" t="s">
        <v>0</v>
      </c>
      <c r="D17" s="195">
        <v>98.96</v>
      </c>
      <c r="E17" s="196" t="s">
        <v>324</v>
      </c>
      <c r="F17" s="197">
        <f>100%-SUM(F18:F22)</f>
        <v>0.39800199999999997</v>
      </c>
      <c r="G17" s="198">
        <f>F17/D17</f>
        <v>4.0218472109943412E-3</v>
      </c>
      <c r="H17" s="199">
        <f t="shared" ref="H17:H22" si="4">G17/$G$23</f>
        <v>0.44572925936612706</v>
      </c>
      <c r="I17" s="200" t="s">
        <v>325</v>
      </c>
      <c r="J17" s="197">
        <f>100%-SUM(J18:J22)</f>
        <v>0.77669999999999995</v>
      </c>
      <c r="K17" s="197">
        <f>J17/D17</f>
        <v>7.8486257073565081E-3</v>
      </c>
      <c r="L17" s="199">
        <f t="shared" ref="L17:L22" si="5">K17/$K$23</f>
        <v>0.78060545866040765</v>
      </c>
      <c r="M17" s="201"/>
      <c r="N17" s="202"/>
      <c r="O17" s="203"/>
      <c r="P17" s="204" t="s">
        <v>326</v>
      </c>
    </row>
    <row r="18" spans="1:16" x14ac:dyDescent="0.25">
      <c r="A18" s="126" t="s">
        <v>308</v>
      </c>
      <c r="B18" s="109">
        <v>75343</v>
      </c>
      <c r="C18" s="109" t="s">
        <v>1</v>
      </c>
      <c r="D18" s="195">
        <v>98.96</v>
      </c>
      <c r="E18" s="196" t="s">
        <v>327</v>
      </c>
      <c r="F18" s="205">
        <v>0.3</v>
      </c>
      <c r="G18" s="198">
        <f t="shared" ref="G18:G22" si="6">F18/D18</f>
        <v>3.0315278900565888E-3</v>
      </c>
      <c r="H18" s="199">
        <f t="shared" si="4"/>
        <v>0.33597514035064679</v>
      </c>
      <c r="I18" s="200" t="s">
        <v>328</v>
      </c>
      <c r="J18" s="205">
        <v>0.21</v>
      </c>
      <c r="K18" s="197">
        <f t="shared" ref="K18:K22" si="7">J18/D18</f>
        <v>2.1220695230396119E-3</v>
      </c>
      <c r="L18" s="199">
        <f t="shared" si="5"/>
        <v>0.21105593706538639</v>
      </c>
      <c r="M18" s="206">
        <f t="shared" ref="M18:M22" si="8">MAX(H18,L18)</f>
        <v>0.33597514035064679</v>
      </c>
      <c r="N18" s="207">
        <f t="shared" ref="N18:N22" si="9">IF(M18=H18, $H$17, $L$17)</f>
        <v>0.44572925936612706</v>
      </c>
      <c r="O18" s="208">
        <v>2.9099999999999998E-3</v>
      </c>
      <c r="P18" s="204" t="s">
        <v>326</v>
      </c>
    </row>
    <row r="19" spans="1:16" x14ac:dyDescent="0.25">
      <c r="A19" s="126" t="s">
        <v>309</v>
      </c>
      <c r="B19" s="109">
        <v>79016</v>
      </c>
      <c r="C19" s="109" t="s">
        <v>2</v>
      </c>
      <c r="D19" s="195">
        <v>131.4</v>
      </c>
      <c r="E19" s="196" t="s">
        <v>329</v>
      </c>
      <c r="F19" s="209">
        <f>999/1000000</f>
        <v>9.990000000000001E-4</v>
      </c>
      <c r="G19" s="198">
        <f t="shared" si="6"/>
        <v>7.6027397260273977E-6</v>
      </c>
      <c r="H19" s="199">
        <f t="shared" si="4"/>
        <v>8.4258883280595909E-4</v>
      </c>
      <c r="I19" s="210">
        <v>2.3E-3</v>
      </c>
      <c r="J19" s="121">
        <v>2.3E-3</v>
      </c>
      <c r="K19" s="197">
        <f t="shared" si="7"/>
        <v>1.7503805175038051E-5</v>
      </c>
      <c r="L19" s="199">
        <f t="shared" si="5"/>
        <v>1.7408864145676039E-3</v>
      </c>
      <c r="M19" s="210">
        <f t="shared" si="8"/>
        <v>1.7408864145676039E-3</v>
      </c>
      <c r="N19" s="207">
        <f t="shared" si="9"/>
        <v>0.78060545866040765</v>
      </c>
      <c r="O19" s="211">
        <v>3.4999999999999997E-5</v>
      </c>
      <c r="P19" s="212" t="s">
        <v>330</v>
      </c>
    </row>
    <row r="20" spans="1:16" x14ac:dyDescent="0.25">
      <c r="A20" s="126" t="s">
        <v>310</v>
      </c>
      <c r="B20" s="109">
        <v>127184</v>
      </c>
      <c r="C20" s="109" t="s">
        <v>3</v>
      </c>
      <c r="D20" s="195">
        <v>165.82</v>
      </c>
      <c r="E20" s="196" t="s">
        <v>331</v>
      </c>
      <c r="F20" s="197">
        <v>0</v>
      </c>
      <c r="G20" s="198">
        <f t="shared" si="6"/>
        <v>0</v>
      </c>
      <c r="H20" s="199">
        <f t="shared" si="4"/>
        <v>0</v>
      </c>
      <c r="I20" s="206">
        <v>1.0999999999999999E-2</v>
      </c>
      <c r="J20" s="197">
        <v>1.0999999999999999E-2</v>
      </c>
      <c r="K20" s="197">
        <f t="shared" si="7"/>
        <v>6.6336991918948261E-5</v>
      </c>
      <c r="L20" s="199">
        <f t="shared" si="5"/>
        <v>6.5977178596383062E-3</v>
      </c>
      <c r="M20" s="210">
        <f t="shared" si="8"/>
        <v>6.5977178596383062E-3</v>
      </c>
      <c r="N20" s="207">
        <f t="shared" si="9"/>
        <v>0.78060545866040765</v>
      </c>
      <c r="O20" s="208">
        <v>1.4999999999999999E-4</v>
      </c>
      <c r="P20" s="204" t="s">
        <v>330</v>
      </c>
    </row>
    <row r="21" spans="1:16" x14ac:dyDescent="0.25">
      <c r="A21" s="126" t="s">
        <v>311</v>
      </c>
      <c r="B21" s="109">
        <v>75092</v>
      </c>
      <c r="C21" s="109" t="s">
        <v>461</v>
      </c>
      <c r="D21" s="195">
        <v>84.93</v>
      </c>
      <c r="E21" s="196" t="s">
        <v>332</v>
      </c>
      <c r="F21" s="209">
        <f>999/1000000</f>
        <v>9.990000000000001E-4</v>
      </c>
      <c r="G21" s="198">
        <f t="shared" si="6"/>
        <v>1.1762628046626634E-5</v>
      </c>
      <c r="H21" s="199">
        <f t="shared" si="4"/>
        <v>1.3036167741752387E-3</v>
      </c>
      <c r="I21" s="213" t="s">
        <v>331</v>
      </c>
      <c r="J21" s="209">
        <v>0</v>
      </c>
      <c r="K21" s="197">
        <f t="shared" si="7"/>
        <v>0</v>
      </c>
      <c r="L21" s="199">
        <f t="shared" si="5"/>
        <v>0</v>
      </c>
      <c r="M21" s="210">
        <f t="shared" si="8"/>
        <v>1.3036167741752387E-3</v>
      </c>
      <c r="N21" s="207">
        <f t="shared" si="9"/>
        <v>0.44572925936612706</v>
      </c>
      <c r="O21" s="211">
        <f>999/1000000</f>
        <v>9.990000000000001E-4</v>
      </c>
      <c r="P21" s="204" t="s">
        <v>333</v>
      </c>
    </row>
    <row r="22" spans="1:16" ht="15.75" thickBot="1" x14ac:dyDescent="0.3">
      <c r="A22" s="130" t="s">
        <v>312</v>
      </c>
      <c r="B22" s="131">
        <v>56235</v>
      </c>
      <c r="C22" s="131" t="s">
        <v>5</v>
      </c>
      <c r="D22" s="214">
        <v>153.82</v>
      </c>
      <c r="E22" s="215">
        <v>0.3</v>
      </c>
      <c r="F22" s="216">
        <v>0.3</v>
      </c>
      <c r="G22" s="217">
        <f t="shared" si="6"/>
        <v>1.950331556364582E-3</v>
      </c>
      <c r="H22" s="199">
        <f t="shared" si="4"/>
        <v>0.216149394676245</v>
      </c>
      <c r="I22" s="219" t="s">
        <v>331</v>
      </c>
      <c r="J22" s="216">
        <v>0</v>
      </c>
      <c r="K22" s="220">
        <f t="shared" si="7"/>
        <v>0</v>
      </c>
      <c r="L22" s="218">
        <f t="shared" si="5"/>
        <v>0</v>
      </c>
      <c r="M22" s="221">
        <f t="shared" si="8"/>
        <v>0.216149394676245</v>
      </c>
      <c r="N22" s="222">
        <f t="shared" si="9"/>
        <v>0.44572925936612706</v>
      </c>
      <c r="O22" s="223">
        <v>1.5E-3</v>
      </c>
      <c r="P22" s="224" t="s">
        <v>330</v>
      </c>
    </row>
    <row r="23" spans="1:16" ht="15.75" thickBot="1" x14ac:dyDescent="0.3">
      <c r="E23" s="225" t="s">
        <v>313</v>
      </c>
      <c r="F23" s="226">
        <f>SUM(F17:F22)</f>
        <v>1</v>
      </c>
      <c r="G23" s="227">
        <f>SUM(G17:G22)</f>
        <v>9.0230720251881658E-3</v>
      </c>
      <c r="H23" s="228">
        <f>SUM(H17:H22)</f>
        <v>1</v>
      </c>
      <c r="I23" s="225" t="s">
        <v>313</v>
      </c>
      <c r="J23" s="226">
        <f>SUM(J17:J22)</f>
        <v>0.99999999999999989</v>
      </c>
      <c r="K23" s="227">
        <f>SUM(K17:K22)</f>
        <v>1.0054536027490107E-2</v>
      </c>
      <c r="L23" s="230">
        <f>SUM(L17:L22)</f>
        <v>0.99999999999999989</v>
      </c>
      <c r="M23" s="229"/>
      <c r="N23" s="229"/>
    </row>
  </sheetData>
  <sheetProtection sheet="1" objects="1" scenarios="1" formatCells="0" formatColumns="0" formatRows="0"/>
  <mergeCells count="2">
    <mergeCell ref="E15:H15"/>
    <mergeCell ref="I15:L15"/>
  </mergeCells>
  <hyperlinks>
    <hyperlink ref="P19" r:id="rId1" xr:uid="{4140E405-71D7-4C11-AEDF-149FD20B6C7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33132-379B-478F-A81B-4252A625C8C2}">
  <dimension ref="A1:C31"/>
  <sheetViews>
    <sheetView zoomScaleNormal="100" workbookViewId="0">
      <selection activeCell="A2" sqref="A2"/>
    </sheetView>
  </sheetViews>
  <sheetFormatPr defaultRowHeight="15" x14ac:dyDescent="0.25"/>
  <cols>
    <col min="1" max="1" width="48.28515625" bestFit="1" customWidth="1"/>
    <col min="2" max="2" width="39.5703125" bestFit="1" customWidth="1"/>
    <col min="3" max="3" width="42" customWidth="1"/>
  </cols>
  <sheetData>
    <row r="1" spans="1:3" x14ac:dyDescent="0.25">
      <c r="A1" s="3" t="s">
        <v>36</v>
      </c>
      <c r="B1" s="5"/>
      <c r="C1" s="5"/>
    </row>
    <row r="2" spans="1:3" x14ac:dyDescent="0.25">
      <c r="A2" s="390" t="s">
        <v>37</v>
      </c>
      <c r="B2" s="390" t="s">
        <v>38</v>
      </c>
      <c r="C2" s="390" t="s">
        <v>39</v>
      </c>
    </row>
    <row r="3" spans="1:3" ht="15.75" x14ac:dyDescent="0.25">
      <c r="A3" s="528" t="s">
        <v>40</v>
      </c>
      <c r="B3" s="528"/>
      <c r="C3" s="528"/>
    </row>
    <row r="4" spans="1:3" ht="26.25" x14ac:dyDescent="0.25">
      <c r="A4" s="391" t="s">
        <v>41</v>
      </c>
      <c r="B4" s="392" t="s">
        <v>42</v>
      </c>
      <c r="C4" s="393" t="s">
        <v>43</v>
      </c>
    </row>
    <row r="5" spans="1:3" ht="179.25" x14ac:dyDescent="0.25">
      <c r="A5" s="391" t="s">
        <v>44</v>
      </c>
      <c r="B5" s="391" t="s">
        <v>45</v>
      </c>
      <c r="C5" s="393" t="s">
        <v>46</v>
      </c>
    </row>
    <row r="6" spans="1:3" ht="85.5" customHeight="1" x14ac:dyDescent="0.25">
      <c r="A6" s="391" t="s">
        <v>47</v>
      </c>
      <c r="B6" s="391" t="s">
        <v>48</v>
      </c>
      <c r="C6" s="393" t="s">
        <v>49</v>
      </c>
    </row>
    <row r="7" spans="1:3" ht="64.5" x14ac:dyDescent="0.25">
      <c r="A7" s="391" t="s">
        <v>50</v>
      </c>
      <c r="B7" s="391" t="s">
        <v>51</v>
      </c>
      <c r="C7" s="393" t="s">
        <v>52</v>
      </c>
    </row>
    <row r="8" spans="1:3" ht="31.5" customHeight="1" x14ac:dyDescent="0.25">
      <c r="A8" s="529" t="s">
        <v>53</v>
      </c>
      <c r="B8" s="529"/>
      <c r="C8" s="529"/>
    </row>
    <row r="9" spans="1:3" x14ac:dyDescent="0.25">
      <c r="A9" s="528" t="s">
        <v>54</v>
      </c>
      <c r="B9" s="528"/>
      <c r="C9" s="528"/>
    </row>
    <row r="10" spans="1:3" x14ac:dyDescent="0.25">
      <c r="A10" s="394" t="s">
        <v>55</v>
      </c>
      <c r="B10" s="395" t="s">
        <v>56</v>
      </c>
      <c r="C10" s="396"/>
    </row>
    <row r="11" spans="1:3" x14ac:dyDescent="0.25">
      <c r="A11" s="394" t="s">
        <v>57</v>
      </c>
      <c r="B11" s="395" t="s">
        <v>56</v>
      </c>
      <c r="C11" s="396"/>
    </row>
    <row r="12" spans="1:3" ht="39" x14ac:dyDescent="0.25">
      <c r="A12" s="395" t="s">
        <v>58</v>
      </c>
      <c r="B12" s="395" t="s">
        <v>59</v>
      </c>
      <c r="C12" s="394" t="s">
        <v>60</v>
      </c>
    </row>
    <row r="13" spans="1:3" ht="39" x14ac:dyDescent="0.25">
      <c r="A13" s="395" t="s">
        <v>61</v>
      </c>
      <c r="B13" s="395" t="s">
        <v>62</v>
      </c>
      <c r="C13" s="394" t="s">
        <v>60</v>
      </c>
    </row>
    <row r="14" spans="1:3" x14ac:dyDescent="0.25">
      <c r="A14" s="528" t="s">
        <v>63</v>
      </c>
      <c r="B14" s="528"/>
      <c r="C14" s="528"/>
    </row>
    <row r="15" spans="1:3" ht="15.75" x14ac:dyDescent="0.25">
      <c r="A15" s="395" t="s">
        <v>64</v>
      </c>
      <c r="B15" s="395" t="s">
        <v>56</v>
      </c>
      <c r="C15" s="394"/>
    </row>
    <row r="16" spans="1:3" ht="39" x14ac:dyDescent="0.25">
      <c r="A16" s="395" t="s">
        <v>65</v>
      </c>
      <c r="B16" s="395" t="s">
        <v>66</v>
      </c>
      <c r="C16" s="394" t="s">
        <v>67</v>
      </c>
    </row>
    <row r="17" spans="1:3" x14ac:dyDescent="0.25">
      <c r="A17" s="391"/>
      <c r="B17" s="391"/>
      <c r="C17" s="393"/>
    </row>
    <row r="18" spans="1:3" x14ac:dyDescent="0.25">
      <c r="A18" s="528" t="s">
        <v>15</v>
      </c>
      <c r="B18" s="528"/>
      <c r="C18" s="528"/>
    </row>
    <row r="19" spans="1:3" ht="96.75" x14ac:dyDescent="0.25">
      <c r="A19" s="394" t="s">
        <v>512</v>
      </c>
      <c r="B19" s="395" t="s">
        <v>68</v>
      </c>
      <c r="C19" s="393" t="s">
        <v>69</v>
      </c>
    </row>
    <row r="20" spans="1:3" ht="26.25" x14ac:dyDescent="0.25">
      <c r="A20" s="394" t="s">
        <v>516</v>
      </c>
      <c r="B20" s="395" t="s">
        <v>70</v>
      </c>
      <c r="C20" s="397" t="s">
        <v>71</v>
      </c>
    </row>
    <row r="21" spans="1:3" ht="102.75" x14ac:dyDescent="0.25">
      <c r="A21" s="394" t="s">
        <v>517</v>
      </c>
      <c r="B21" s="395" t="s">
        <v>72</v>
      </c>
      <c r="C21" s="393" t="s">
        <v>73</v>
      </c>
    </row>
    <row r="22" spans="1:3" ht="51.75" x14ac:dyDescent="0.25">
      <c r="A22" s="37" t="s">
        <v>514</v>
      </c>
      <c r="B22" s="391" t="s">
        <v>74</v>
      </c>
      <c r="C22" s="393" t="s">
        <v>75</v>
      </c>
    </row>
    <row r="23" spans="1:3" ht="39" x14ac:dyDescent="0.25">
      <c r="A23" s="37" t="s">
        <v>515</v>
      </c>
      <c r="B23" s="391" t="s">
        <v>74</v>
      </c>
      <c r="C23" s="393" t="s">
        <v>76</v>
      </c>
    </row>
    <row r="24" spans="1:3" x14ac:dyDescent="0.25">
      <c r="A24" s="528" t="s">
        <v>77</v>
      </c>
      <c r="B24" s="528"/>
      <c r="C24" s="528"/>
    </row>
    <row r="25" spans="1:3" x14ac:dyDescent="0.25">
      <c r="A25" s="394" t="s">
        <v>78</v>
      </c>
      <c r="B25" s="395" t="s">
        <v>56</v>
      </c>
      <c r="C25" s="396"/>
    </row>
    <row r="26" spans="1:3" x14ac:dyDescent="0.25">
      <c r="A26" s="394" t="s">
        <v>57</v>
      </c>
      <c r="B26" s="395" t="s">
        <v>56</v>
      </c>
      <c r="C26" s="396"/>
    </row>
    <row r="27" spans="1:3" ht="39" x14ac:dyDescent="0.25">
      <c r="A27" s="395" t="s">
        <v>58</v>
      </c>
      <c r="B27" s="395" t="s">
        <v>79</v>
      </c>
      <c r="C27" s="394" t="s">
        <v>60</v>
      </c>
    </row>
    <row r="28" spans="1:3" ht="39" x14ac:dyDescent="0.25">
      <c r="A28" s="395" t="s">
        <v>61</v>
      </c>
      <c r="B28" s="395" t="s">
        <v>80</v>
      </c>
      <c r="C28" s="394" t="s">
        <v>60</v>
      </c>
    </row>
    <row r="29" spans="1:3" x14ac:dyDescent="0.25">
      <c r="A29" s="528" t="s">
        <v>63</v>
      </c>
      <c r="B29" s="528"/>
      <c r="C29" s="528"/>
    </row>
    <row r="30" spans="1:3" ht="15.75" x14ac:dyDescent="0.25">
      <c r="A30" s="395" t="s">
        <v>81</v>
      </c>
      <c r="B30" s="395" t="s">
        <v>56</v>
      </c>
      <c r="C30" s="394"/>
    </row>
    <row r="31" spans="1:3" ht="39" x14ac:dyDescent="0.25">
      <c r="A31" s="395" t="s">
        <v>65</v>
      </c>
      <c r="B31" s="395" t="s">
        <v>82</v>
      </c>
      <c r="C31" s="394" t="s">
        <v>67</v>
      </c>
    </row>
  </sheetData>
  <sheetProtection sheet="1" objects="1" scenarios="1" formatCells="0" formatColumns="0" formatRows="0"/>
  <mergeCells count="7">
    <mergeCell ref="A29:C29"/>
    <mergeCell ref="A3:C3"/>
    <mergeCell ref="A8:C8"/>
    <mergeCell ref="A9:C9"/>
    <mergeCell ref="A14:C14"/>
    <mergeCell ref="A18:C18"/>
    <mergeCell ref="A24:C2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9EB-8195-46B0-8416-14FBFD12C39F}">
  <sheetPr codeName="Sheet28">
    <tabColor theme="1"/>
  </sheetPr>
  <dimension ref="A1:F16"/>
  <sheetViews>
    <sheetView workbookViewId="0">
      <selection activeCell="C26" sqref="C26"/>
    </sheetView>
  </sheetViews>
  <sheetFormatPr defaultRowHeight="15" x14ac:dyDescent="0.25"/>
  <cols>
    <col min="1" max="1" width="55.7109375" bestFit="1" customWidth="1"/>
    <col min="2" max="2" width="9.5703125" customWidth="1"/>
    <col min="3" max="3" width="26.140625" bestFit="1" customWidth="1"/>
    <col min="4" max="5" width="19.140625" style="259" customWidth="1"/>
    <col min="6" max="6" width="138.5703125" customWidth="1"/>
  </cols>
  <sheetData>
    <row r="1" spans="1:6" ht="47.1" customHeight="1" thickBot="1" x14ac:dyDescent="0.3">
      <c r="A1" s="249" t="s">
        <v>299</v>
      </c>
      <c r="B1" s="250" t="s">
        <v>300</v>
      </c>
      <c r="C1" s="250" t="s">
        <v>22</v>
      </c>
      <c r="D1" s="258" t="s">
        <v>334</v>
      </c>
      <c r="E1" s="258" t="s">
        <v>335</v>
      </c>
      <c r="F1" s="251" t="s">
        <v>323</v>
      </c>
    </row>
    <row r="2" spans="1:6" x14ac:dyDescent="0.25">
      <c r="A2" s="268" t="s">
        <v>308</v>
      </c>
      <c r="B2" s="269">
        <v>75343</v>
      </c>
      <c r="C2" s="270" t="s">
        <v>1</v>
      </c>
      <c r="D2" s="271">
        <v>2.9099999999999998E-3</v>
      </c>
      <c r="E2" s="272">
        <v>0.3</v>
      </c>
      <c r="F2" s="273" t="s">
        <v>326</v>
      </c>
    </row>
    <row r="3" spans="1:6" x14ac:dyDescent="0.25">
      <c r="A3" s="126" t="s">
        <v>309</v>
      </c>
      <c r="B3" s="110">
        <v>79016</v>
      </c>
      <c r="C3" s="260" t="s">
        <v>2</v>
      </c>
      <c r="D3" s="265">
        <v>3.4999999999999997E-5</v>
      </c>
      <c r="E3" s="261">
        <v>2.3E-3</v>
      </c>
      <c r="F3" s="252" t="s">
        <v>330</v>
      </c>
    </row>
    <row r="4" spans="1:6" x14ac:dyDescent="0.25">
      <c r="A4" s="126" t="s">
        <v>310</v>
      </c>
      <c r="B4" s="110">
        <v>127184</v>
      </c>
      <c r="C4" s="260" t="s">
        <v>3</v>
      </c>
      <c r="D4" s="264">
        <v>1.4999999999999999E-4</v>
      </c>
      <c r="E4" s="262">
        <v>1.0999999999999999E-2</v>
      </c>
      <c r="F4" s="252" t="s">
        <v>330</v>
      </c>
    </row>
    <row r="5" spans="1:6" x14ac:dyDescent="0.25">
      <c r="A5" s="126" t="s">
        <v>311</v>
      </c>
      <c r="B5" s="110">
        <v>75092</v>
      </c>
      <c r="C5" s="260" t="s">
        <v>4</v>
      </c>
      <c r="D5" s="265">
        <v>9.990000000000001E-4</v>
      </c>
      <c r="E5" s="263">
        <f>999/1000000</f>
        <v>9.990000000000001E-4</v>
      </c>
      <c r="F5" s="252" t="s">
        <v>333</v>
      </c>
    </row>
    <row r="6" spans="1:6" ht="15.75" thickBot="1" x14ac:dyDescent="0.3">
      <c r="A6" s="130" t="s">
        <v>312</v>
      </c>
      <c r="B6" s="253">
        <v>56235</v>
      </c>
      <c r="C6" s="266" t="s">
        <v>5</v>
      </c>
      <c r="D6" s="274">
        <v>1.5E-3</v>
      </c>
      <c r="E6" s="267">
        <v>0.3</v>
      </c>
      <c r="F6" s="254" t="s">
        <v>330</v>
      </c>
    </row>
    <row r="7" spans="1:6" x14ac:dyDescent="0.25">
      <c r="A7" s="184"/>
      <c r="B7" s="184"/>
      <c r="C7" s="184"/>
    </row>
    <row r="10" spans="1:6" x14ac:dyDescent="0.25">
      <c r="E10" s="255"/>
    </row>
    <row r="11" spans="1:6" x14ac:dyDescent="0.25">
      <c r="E11" s="255"/>
    </row>
    <row r="12" spans="1:6" x14ac:dyDescent="0.25">
      <c r="E12" s="255"/>
    </row>
    <row r="13" spans="1:6" x14ac:dyDescent="0.25">
      <c r="E13" s="256"/>
    </row>
    <row r="14" spans="1:6" x14ac:dyDescent="0.25">
      <c r="E14" s="257"/>
    </row>
    <row r="15" spans="1:6" x14ac:dyDescent="0.25">
      <c r="E15" s="256"/>
    </row>
    <row r="16" spans="1:6" x14ac:dyDescent="0.25">
      <c r="E16" s="255"/>
    </row>
  </sheetData>
  <sheetProtection sheet="1" objects="1" scenarios="1" formatCells="0" formatColumns="0" formatRows="0"/>
  <pageMargins left="0.7" right="0.7" top="0.75" bottom="0.75" header="0.3" footer="0.3"/>
  <pageSetup orientation="portrait" horizontalDpi="4294967293"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20886-4B9C-4F90-9EF9-7E03C4E5CF33}">
  <sheetPr codeName="Sheet29">
    <tabColor theme="1"/>
  </sheetPr>
  <dimension ref="A1:L8"/>
  <sheetViews>
    <sheetView workbookViewId="0">
      <selection activeCell="J31" sqref="J31"/>
    </sheetView>
  </sheetViews>
  <sheetFormatPr defaultRowHeight="15" x14ac:dyDescent="0.25"/>
  <cols>
    <col min="1" max="1" width="27.5703125" bestFit="1" customWidth="1"/>
    <col min="2" max="2" width="12.140625" bestFit="1" customWidth="1"/>
    <col min="6" max="8" width="10.5703125" bestFit="1" customWidth="1"/>
    <col min="9" max="11" width="9.42578125" bestFit="1" customWidth="1"/>
    <col min="12" max="12" width="10.5703125" bestFit="1" customWidth="1"/>
  </cols>
  <sheetData>
    <row r="1" spans="1:12" x14ac:dyDescent="0.25">
      <c r="A1" s="117" t="s">
        <v>336</v>
      </c>
    </row>
    <row r="2" spans="1:12" x14ac:dyDescent="0.25">
      <c r="A2" s="117" t="s">
        <v>337</v>
      </c>
    </row>
    <row r="3" spans="1:12" x14ac:dyDescent="0.25">
      <c r="A3" s="118" t="s">
        <v>338</v>
      </c>
      <c r="B3" s="119" t="s">
        <v>339</v>
      </c>
      <c r="C3" s="119" t="s">
        <v>340</v>
      </c>
      <c r="D3" s="119" t="s">
        <v>341</v>
      </c>
      <c r="E3" s="119" t="s">
        <v>342</v>
      </c>
      <c r="F3" s="119" t="s">
        <v>343</v>
      </c>
      <c r="G3" s="119" t="s">
        <v>344</v>
      </c>
      <c r="H3" s="119" t="s">
        <v>345</v>
      </c>
      <c r="I3" s="119" t="s">
        <v>346</v>
      </c>
      <c r="J3" s="119" t="s">
        <v>347</v>
      </c>
      <c r="K3" s="119" t="s">
        <v>348</v>
      </c>
      <c r="L3" s="119" t="s">
        <v>349</v>
      </c>
    </row>
    <row r="4" spans="1:12" x14ac:dyDescent="0.25">
      <c r="A4" s="111" t="s">
        <v>350</v>
      </c>
      <c r="B4" s="120">
        <v>53</v>
      </c>
      <c r="C4" s="120">
        <v>0</v>
      </c>
      <c r="D4" s="121">
        <v>0</v>
      </c>
      <c r="E4" s="120">
        <v>5.7</v>
      </c>
      <c r="F4" s="122">
        <v>9600</v>
      </c>
      <c r="G4" s="122">
        <v>1700</v>
      </c>
      <c r="H4" s="122">
        <v>2600</v>
      </c>
      <c r="I4" s="122">
        <v>340</v>
      </c>
      <c r="J4" s="122">
        <v>8.9</v>
      </c>
      <c r="K4" s="122">
        <v>480</v>
      </c>
      <c r="L4" s="122">
        <v>7300</v>
      </c>
    </row>
    <row r="5" spans="1:12" x14ac:dyDescent="0.25">
      <c r="A5" s="111" t="s">
        <v>351</v>
      </c>
      <c r="B5" s="120">
        <v>29</v>
      </c>
      <c r="C5" s="120">
        <v>0</v>
      </c>
      <c r="D5" s="121">
        <v>0</v>
      </c>
      <c r="E5" s="120">
        <v>1.8</v>
      </c>
      <c r="F5" s="122">
        <v>2800</v>
      </c>
      <c r="G5" s="122">
        <v>290</v>
      </c>
      <c r="H5" s="122">
        <v>600</v>
      </c>
      <c r="I5" s="122">
        <v>57</v>
      </c>
      <c r="J5" s="122">
        <v>6.7</v>
      </c>
      <c r="K5" s="122">
        <v>47</v>
      </c>
      <c r="L5" s="122">
        <v>1300</v>
      </c>
    </row>
    <row r="6" spans="1:12" x14ac:dyDescent="0.25">
      <c r="A6" s="111" t="s">
        <v>352</v>
      </c>
      <c r="B6" s="120">
        <v>9</v>
      </c>
      <c r="C6" s="120">
        <v>0</v>
      </c>
      <c r="D6" s="121">
        <v>0</v>
      </c>
      <c r="E6" s="120">
        <v>2</v>
      </c>
      <c r="F6" s="122">
        <v>290</v>
      </c>
      <c r="G6" s="122">
        <v>60</v>
      </c>
      <c r="H6" s="122">
        <v>100</v>
      </c>
      <c r="I6" s="122">
        <v>17</v>
      </c>
      <c r="J6" s="122">
        <v>5.6</v>
      </c>
      <c r="K6" s="122">
        <v>17</v>
      </c>
      <c r="L6" s="122">
        <v>240</v>
      </c>
    </row>
    <row r="7" spans="1:12" x14ac:dyDescent="0.25">
      <c r="A7" s="111" t="s">
        <v>353</v>
      </c>
      <c r="B7" s="120">
        <v>32</v>
      </c>
      <c r="C7" s="120">
        <v>0</v>
      </c>
      <c r="D7" s="121">
        <v>0</v>
      </c>
      <c r="E7" s="120">
        <v>4.5</v>
      </c>
      <c r="F7" s="122">
        <v>2700</v>
      </c>
      <c r="G7" s="122">
        <v>390</v>
      </c>
      <c r="H7" s="122">
        <v>650</v>
      </c>
      <c r="I7" s="122">
        <v>85</v>
      </c>
      <c r="J7" s="122">
        <v>7</v>
      </c>
      <c r="K7" s="122">
        <v>49</v>
      </c>
      <c r="L7" s="122">
        <v>1600</v>
      </c>
    </row>
    <row r="8" spans="1:12" x14ac:dyDescent="0.25">
      <c r="A8" s="111" t="s">
        <v>28</v>
      </c>
      <c r="B8" s="120">
        <v>39</v>
      </c>
      <c r="C8" s="120">
        <v>0</v>
      </c>
      <c r="D8" s="121">
        <v>0</v>
      </c>
      <c r="E8" s="120">
        <v>0.22</v>
      </c>
      <c r="F8" s="122">
        <v>1900</v>
      </c>
      <c r="G8" s="122">
        <v>190</v>
      </c>
      <c r="H8" s="122">
        <v>460</v>
      </c>
      <c r="I8" s="122">
        <v>20</v>
      </c>
      <c r="J8" s="122">
        <v>9.6999999999999993</v>
      </c>
      <c r="K8" s="122">
        <v>14</v>
      </c>
      <c r="L8" s="122">
        <v>1600</v>
      </c>
    </row>
  </sheetData>
  <sheetProtection sheet="1" objects="1" scenarios="1" formatCells="0" formatColumns="0" formatRows="0"/>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53A9-A61F-4E4A-BAC7-547C87FDA1C8}">
  <sheetPr>
    <tabColor theme="1"/>
  </sheetPr>
  <dimension ref="B2:B18"/>
  <sheetViews>
    <sheetView topLeftCell="A3" workbookViewId="0">
      <selection activeCell="F23" sqref="F23"/>
    </sheetView>
  </sheetViews>
  <sheetFormatPr defaultRowHeight="15" x14ac:dyDescent="0.25"/>
  <cols>
    <col min="2" max="2" width="23.85546875" bestFit="1" customWidth="1"/>
  </cols>
  <sheetData>
    <row r="2" spans="2:2" ht="15.75" thickBot="1" x14ac:dyDescent="0.3">
      <c r="B2" s="117"/>
    </row>
    <row r="3" spans="2:2" x14ac:dyDescent="0.25">
      <c r="B3" s="297" t="s">
        <v>37</v>
      </c>
    </row>
    <row r="4" spans="2:2" x14ac:dyDescent="0.25">
      <c r="B4" s="295" t="s">
        <v>30</v>
      </c>
    </row>
    <row r="5" spans="2:2" ht="15.75" thickBot="1" x14ac:dyDescent="0.3">
      <c r="B5" s="296" t="s">
        <v>28</v>
      </c>
    </row>
    <row r="7" spans="2:2" ht="15.75" thickBot="1" x14ac:dyDescent="0.3"/>
    <row r="8" spans="2:2" x14ac:dyDescent="0.25">
      <c r="B8" s="298" t="s">
        <v>354</v>
      </c>
    </row>
    <row r="9" spans="2:2" x14ac:dyDescent="0.25">
      <c r="B9" s="295">
        <v>10</v>
      </c>
    </row>
    <row r="10" spans="2:2" x14ac:dyDescent="0.25">
      <c r="B10" s="295">
        <v>25</v>
      </c>
    </row>
    <row r="11" spans="2:2" x14ac:dyDescent="0.25">
      <c r="B11" s="295">
        <v>50</v>
      </c>
    </row>
    <row r="12" spans="2:2" x14ac:dyDescent="0.25">
      <c r="B12" s="295">
        <v>1000</v>
      </c>
    </row>
    <row r="13" spans="2:2" ht="15.75" thickBot="1" x14ac:dyDescent="0.3">
      <c r="B13" s="296">
        <v>10000</v>
      </c>
    </row>
    <row r="14" spans="2:2" ht="15.75" thickBot="1" x14ac:dyDescent="0.3"/>
    <row r="15" spans="2:2" x14ac:dyDescent="0.25">
      <c r="B15" s="297" t="s">
        <v>355</v>
      </c>
    </row>
    <row r="16" spans="2:2" x14ac:dyDescent="0.25">
      <c r="B16" s="314">
        <v>5</v>
      </c>
    </row>
    <row r="17" spans="2:2" x14ac:dyDescent="0.25">
      <c r="B17" s="314">
        <v>10</v>
      </c>
    </row>
    <row r="18" spans="2:2" ht="15.75" thickBot="1" x14ac:dyDescent="0.3">
      <c r="B18" s="315">
        <v>20</v>
      </c>
    </row>
  </sheetData>
  <sheetProtection sheet="1" objects="1" scenarios="1" formatCells="0" formatColumns="0" formatRows="0"/>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3DA4F-90C9-4518-961A-7AD3DA773978}">
  <sheetPr codeName="Sheet30">
    <tabColor theme="1"/>
  </sheetPr>
  <dimension ref="B3:E23"/>
  <sheetViews>
    <sheetView topLeftCell="A7" workbookViewId="0">
      <selection activeCell="H23" sqref="H23"/>
    </sheetView>
  </sheetViews>
  <sheetFormatPr defaultColWidth="9.140625" defaultRowHeight="15" x14ac:dyDescent="0.25"/>
  <cols>
    <col min="1" max="1" width="4.7109375" style="1" customWidth="1"/>
    <col min="2" max="2" width="33" style="1" customWidth="1"/>
    <col min="3" max="3" width="10.42578125" style="1" customWidth="1"/>
    <col min="4" max="4" width="12.42578125" style="1" customWidth="1"/>
    <col min="5" max="5" width="16.5703125" style="1" bestFit="1" customWidth="1"/>
    <col min="6" max="16384" width="9.140625" style="1"/>
  </cols>
  <sheetData>
    <row r="3" spans="2:5" ht="18.75" x14ac:dyDescent="0.3">
      <c r="B3" s="2" t="s">
        <v>356</v>
      </c>
    </row>
    <row r="4" spans="2:5" ht="15.75" thickBot="1" x14ac:dyDescent="0.3"/>
    <row r="5" spans="2:5" ht="45.75" thickBot="1" x14ac:dyDescent="0.3">
      <c r="C5" s="145" t="s">
        <v>357</v>
      </c>
      <c r="D5" s="146" t="s">
        <v>358</v>
      </c>
      <c r="E5" s="146" t="s">
        <v>359</v>
      </c>
    </row>
    <row r="6" spans="2:5" x14ac:dyDescent="0.25">
      <c r="B6" s="147" t="s">
        <v>360</v>
      </c>
      <c r="C6" s="148">
        <v>80</v>
      </c>
      <c r="D6" s="149">
        <f>AVERAGE(65.9,71.9,74.8,77.1)</f>
        <v>72.425000000000011</v>
      </c>
      <c r="E6" s="150"/>
    </row>
    <row r="7" spans="2:5" ht="17.25" x14ac:dyDescent="0.25">
      <c r="B7" s="147" t="s">
        <v>361</v>
      </c>
      <c r="C7" s="151">
        <f>C8/2</f>
        <v>535</v>
      </c>
      <c r="D7" s="152">
        <f>D8/2</f>
        <v>445</v>
      </c>
      <c r="E7" s="153" t="s">
        <v>103</v>
      </c>
    </row>
    <row r="8" spans="2:5" ht="15" customHeight="1" x14ac:dyDescent="0.25">
      <c r="B8" s="147" t="s">
        <v>362</v>
      </c>
      <c r="C8" s="154">
        <v>1070</v>
      </c>
      <c r="D8" s="155">
        <v>890</v>
      </c>
      <c r="E8" s="153" t="s">
        <v>27</v>
      </c>
    </row>
    <row r="9" spans="2:5" ht="17.25" customHeight="1" x14ac:dyDescent="0.25">
      <c r="B9" s="147" t="s">
        <v>363</v>
      </c>
      <c r="C9" s="156">
        <v>40</v>
      </c>
      <c r="D9" s="152">
        <v>40</v>
      </c>
      <c r="E9" s="153" t="s">
        <v>103</v>
      </c>
    </row>
    <row r="10" spans="2:5" ht="30" x14ac:dyDescent="0.25">
      <c r="B10" s="147" t="s">
        <v>364</v>
      </c>
      <c r="C10" s="156">
        <v>31</v>
      </c>
      <c r="D10" s="152">
        <v>31</v>
      </c>
      <c r="E10" s="153" t="s">
        <v>27</v>
      </c>
    </row>
    <row r="11" spans="2:5" ht="15.75" thickBot="1" x14ac:dyDescent="0.3">
      <c r="B11" s="157" t="s">
        <v>365</v>
      </c>
      <c r="C11" s="158">
        <v>78</v>
      </c>
      <c r="D11" s="159">
        <v>78</v>
      </c>
      <c r="E11" s="160"/>
    </row>
    <row r="12" spans="2:5" x14ac:dyDescent="0.25">
      <c r="B12" s="673"/>
      <c r="C12" s="673"/>
      <c r="D12" s="674"/>
      <c r="E12" s="674"/>
    </row>
    <row r="13" spans="2:5" x14ac:dyDescent="0.25">
      <c r="B13" s="431"/>
      <c r="C13" s="431"/>
      <c r="D13" s="431"/>
      <c r="E13" s="431"/>
    </row>
    <row r="14" spans="2:5" x14ac:dyDescent="0.25">
      <c r="B14" s="161" t="s">
        <v>366</v>
      </c>
    </row>
    <row r="15" spans="2:5" x14ac:dyDescent="0.25">
      <c r="B15" s="162" t="s">
        <v>367</v>
      </c>
    </row>
    <row r="16" spans="2:5" x14ac:dyDescent="0.25">
      <c r="B16" s="1" t="s">
        <v>368</v>
      </c>
    </row>
    <row r="17" spans="2:5" x14ac:dyDescent="0.25">
      <c r="B17" s="1" t="s">
        <v>369</v>
      </c>
    </row>
    <row r="18" spans="2:5" x14ac:dyDescent="0.25">
      <c r="B18" s="1" t="s">
        <v>370</v>
      </c>
    </row>
    <row r="19" spans="2:5" x14ac:dyDescent="0.25">
      <c r="B19" s="1" t="s">
        <v>371</v>
      </c>
    </row>
    <row r="20" spans="2:5" x14ac:dyDescent="0.25">
      <c r="B20" s="1" t="s">
        <v>372</v>
      </c>
    </row>
    <row r="23" spans="2:5" ht="78" customHeight="1" x14ac:dyDescent="0.25">
      <c r="B23" s="675" t="s">
        <v>373</v>
      </c>
      <c r="C23" s="675"/>
      <c r="D23" s="675"/>
      <c r="E23" s="675"/>
    </row>
  </sheetData>
  <sheetProtection sheet="1" objects="1" scenarios="1" formatCells="0" formatColumns="0" formatRows="0"/>
  <mergeCells count="2">
    <mergeCell ref="B12:E12"/>
    <mergeCell ref="B23:E23"/>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D9485-C464-4061-9806-4D32F3671029}">
  <sheetPr codeName="Sheet31">
    <tabColor theme="1"/>
  </sheetPr>
  <dimension ref="A1:I43"/>
  <sheetViews>
    <sheetView topLeftCell="A29" workbookViewId="0">
      <selection activeCell="A43" sqref="A43"/>
    </sheetView>
  </sheetViews>
  <sheetFormatPr defaultColWidth="9.140625" defaultRowHeight="12.75" x14ac:dyDescent="0.2"/>
  <cols>
    <col min="1" max="1" width="34.85546875" style="164" customWidth="1"/>
    <col min="2" max="2" width="24.85546875" style="164" customWidth="1"/>
    <col min="3" max="3" width="9.140625" style="164"/>
    <col min="4" max="4" width="13.5703125" style="164" bestFit="1" customWidth="1"/>
    <col min="5" max="6" width="9.140625" style="164"/>
    <col min="7" max="7" width="23.42578125" style="164" customWidth="1"/>
    <col min="8" max="8" width="21.42578125" style="165" bestFit="1" customWidth="1"/>
    <col min="9" max="9" width="13.5703125" style="165" bestFit="1" customWidth="1"/>
    <col min="10" max="16384" width="9.140625" style="164"/>
  </cols>
  <sheetData>
    <row r="1" spans="1:9" ht="13.5" thickBot="1" x14ac:dyDescent="0.25">
      <c r="A1" s="163"/>
    </row>
    <row r="2" spans="1:9" ht="32.25" thickBot="1" x14ac:dyDescent="0.25">
      <c r="G2" s="166" t="s">
        <v>22</v>
      </c>
      <c r="H2" s="167" t="s">
        <v>374</v>
      </c>
      <c r="I2" s="167" t="s">
        <v>323</v>
      </c>
    </row>
    <row r="3" spans="1:9" ht="14.25" thickTop="1" thickBot="1" x14ac:dyDescent="0.25">
      <c r="A3" s="168" t="s">
        <v>375</v>
      </c>
      <c r="B3" s="169">
        <v>98.95</v>
      </c>
      <c r="C3" s="170" t="s">
        <v>376</v>
      </c>
      <c r="D3" s="171" t="s">
        <v>377</v>
      </c>
      <c r="G3" s="172" t="s">
        <v>26</v>
      </c>
      <c r="H3" s="173">
        <v>227</v>
      </c>
      <c r="I3" s="171" t="s">
        <v>377</v>
      </c>
    </row>
    <row r="4" spans="1:9" ht="13.5" thickBot="1" x14ac:dyDescent="0.25">
      <c r="A4" s="174" t="s">
        <v>378</v>
      </c>
      <c r="B4" s="175">
        <v>24.45</v>
      </c>
      <c r="C4" s="176" t="s">
        <v>379</v>
      </c>
      <c r="D4" s="171" t="s">
        <v>377</v>
      </c>
      <c r="G4" s="172" t="s">
        <v>380</v>
      </c>
      <c r="H4" s="173">
        <v>78.900000000000006</v>
      </c>
      <c r="I4" s="171" t="s">
        <v>377</v>
      </c>
    </row>
    <row r="5" spans="1:9" ht="13.5" thickBot="1" x14ac:dyDescent="0.25">
      <c r="H5" s="177">
        <f>VP_11DCA/VP_12DCA</f>
        <v>2.877059569074778</v>
      </c>
    </row>
    <row r="6" spans="1:9" ht="13.5" thickBot="1" x14ac:dyDescent="0.25">
      <c r="A6" s="676" t="s">
        <v>381</v>
      </c>
      <c r="B6" s="178">
        <v>100</v>
      </c>
      <c r="C6" s="179" t="s">
        <v>382</v>
      </c>
    </row>
    <row r="7" spans="1:9" ht="13.5" thickBot="1" x14ac:dyDescent="0.25">
      <c r="A7" s="677"/>
      <c r="B7" s="180">
        <v>400</v>
      </c>
      <c r="C7" s="181" t="s">
        <v>383</v>
      </c>
    </row>
    <row r="9" spans="1:9" ht="13.5" thickBot="1" x14ac:dyDescent="0.25"/>
    <row r="10" spans="1:9" ht="32.25" thickBot="1" x14ac:dyDescent="0.25">
      <c r="A10" s="166" t="s">
        <v>384</v>
      </c>
      <c r="B10" s="167" t="s">
        <v>385</v>
      </c>
      <c r="C10" s="167" t="s">
        <v>386</v>
      </c>
      <c r="D10" s="167" t="s">
        <v>387</v>
      </c>
      <c r="G10" s="166" t="s">
        <v>388</v>
      </c>
      <c r="H10" s="167" t="s">
        <v>389</v>
      </c>
      <c r="I10" s="167" t="s">
        <v>390</v>
      </c>
    </row>
    <row r="11" spans="1:9" ht="14.25" thickTop="1" thickBot="1" x14ac:dyDescent="0.25">
      <c r="A11" s="172" t="s">
        <v>391</v>
      </c>
      <c r="B11" s="173" t="s">
        <v>392</v>
      </c>
      <c r="C11" s="173">
        <v>8</v>
      </c>
      <c r="D11" s="176" t="s">
        <v>393</v>
      </c>
      <c r="G11" s="172" t="s">
        <v>394</v>
      </c>
      <c r="H11" s="173">
        <v>1</v>
      </c>
      <c r="I11" s="173">
        <v>1.7</v>
      </c>
    </row>
    <row r="12" spans="1:9" ht="13.5" thickBot="1" x14ac:dyDescent="0.25">
      <c r="A12" s="172" t="s">
        <v>395</v>
      </c>
      <c r="B12" s="173" t="s">
        <v>396</v>
      </c>
      <c r="C12" s="173">
        <v>24</v>
      </c>
      <c r="D12" s="176" t="s">
        <v>393</v>
      </c>
      <c r="G12" s="172" t="s">
        <v>397</v>
      </c>
      <c r="H12" s="173">
        <v>1.7</v>
      </c>
      <c r="I12" s="173">
        <v>2.2999999999999998</v>
      </c>
    </row>
    <row r="13" spans="1:9" ht="13.5" thickBot="1" x14ac:dyDescent="0.25">
      <c r="A13" s="172" t="s">
        <v>398</v>
      </c>
      <c r="B13" s="173" t="s">
        <v>399</v>
      </c>
      <c r="C13" s="173">
        <v>250</v>
      </c>
      <c r="D13" s="176" t="s">
        <v>400</v>
      </c>
      <c r="G13" s="172" t="s">
        <v>401</v>
      </c>
      <c r="H13" s="173">
        <v>2.2999999999999998</v>
      </c>
      <c r="I13" s="173">
        <v>3</v>
      </c>
    </row>
    <row r="14" spans="1:9" ht="13.5" thickBot="1" x14ac:dyDescent="0.25">
      <c r="A14" s="172" t="s">
        <v>402</v>
      </c>
      <c r="B14" s="173" t="s">
        <v>403</v>
      </c>
      <c r="C14" s="173">
        <v>31</v>
      </c>
      <c r="D14" s="176" t="s">
        <v>404</v>
      </c>
    </row>
    <row r="15" spans="1:9" ht="13.5" thickBot="1" x14ac:dyDescent="0.25">
      <c r="A15" s="172" t="s">
        <v>405</v>
      </c>
      <c r="B15" s="173" t="s">
        <v>406</v>
      </c>
      <c r="C15" s="173">
        <v>40</v>
      </c>
      <c r="D15" s="176" t="s">
        <v>404</v>
      </c>
    </row>
    <row r="16" spans="1:9" ht="13.5" thickBot="1" x14ac:dyDescent="0.25">
      <c r="A16" s="172" t="s">
        <v>407</v>
      </c>
      <c r="B16" s="173" t="s">
        <v>408</v>
      </c>
      <c r="C16" s="173">
        <v>78</v>
      </c>
      <c r="D16" s="176" t="s">
        <v>404</v>
      </c>
    </row>
    <row r="17" spans="1:4" ht="13.5" thickBot="1" x14ac:dyDescent="0.25">
      <c r="A17" s="172" t="s">
        <v>409</v>
      </c>
      <c r="B17" s="173" t="s">
        <v>410</v>
      </c>
      <c r="C17" s="182">
        <f>WY_mid*365*24</f>
        <v>271560</v>
      </c>
      <c r="D17" s="176" t="s">
        <v>411</v>
      </c>
    </row>
    <row r="18" spans="1:4" ht="13.5" thickBot="1" x14ac:dyDescent="0.25">
      <c r="A18" s="172" t="s">
        <v>412</v>
      </c>
      <c r="B18" s="173" t="s">
        <v>413</v>
      </c>
      <c r="C18" s="182">
        <f>WY_high*365*24</f>
        <v>350400</v>
      </c>
      <c r="D18" s="176" t="s">
        <v>411</v>
      </c>
    </row>
    <row r="19" spans="1:4" ht="13.5" thickBot="1" x14ac:dyDescent="0.25">
      <c r="A19" s="172" t="s">
        <v>414</v>
      </c>
      <c r="B19" s="173" t="s">
        <v>415</v>
      </c>
      <c r="C19" s="182">
        <f>LT*365*24</f>
        <v>683280</v>
      </c>
      <c r="D19" s="176" t="s">
        <v>411</v>
      </c>
    </row>
    <row r="20" spans="1:4" ht="13.5" thickBot="1" x14ac:dyDescent="0.25">
      <c r="A20" s="172" t="s">
        <v>416</v>
      </c>
      <c r="B20" s="173"/>
      <c r="C20" s="183">
        <f>1.25/0.6125</f>
        <v>2.0408163265306123</v>
      </c>
      <c r="D20" s="176"/>
    </row>
    <row r="21" spans="1:4" ht="26.25" thickBot="1" x14ac:dyDescent="0.25">
      <c r="A21" s="282" t="s">
        <v>417</v>
      </c>
      <c r="B21" s="283" t="s">
        <v>418</v>
      </c>
      <c r="C21" s="284">
        <v>11315</v>
      </c>
      <c r="D21" s="285" t="s">
        <v>419</v>
      </c>
    </row>
    <row r="22" spans="1:4" ht="26.25" thickBot="1" x14ac:dyDescent="0.25">
      <c r="A22" s="282" t="s">
        <v>420</v>
      </c>
      <c r="B22" s="283" t="s">
        <v>421</v>
      </c>
      <c r="C22" s="284">
        <v>14600</v>
      </c>
      <c r="D22" s="285" t="s">
        <v>419</v>
      </c>
    </row>
    <row r="23" spans="1:4" ht="26.25" thickBot="1" x14ac:dyDescent="0.25">
      <c r="A23" s="282" t="s">
        <v>422</v>
      </c>
      <c r="B23" s="283" t="s">
        <v>423</v>
      </c>
      <c r="C23" s="286">
        <v>28470</v>
      </c>
      <c r="D23" s="285" t="s">
        <v>419</v>
      </c>
    </row>
    <row r="24" spans="1:4" ht="26.25" thickBot="1" x14ac:dyDescent="0.25">
      <c r="A24" s="282" t="s">
        <v>424</v>
      </c>
      <c r="B24" s="283" t="s">
        <v>425</v>
      </c>
      <c r="C24" s="283">
        <v>720</v>
      </c>
      <c r="D24" s="285" t="s">
        <v>411</v>
      </c>
    </row>
    <row r="25" spans="1:4" ht="13.5" thickBot="1" x14ac:dyDescent="0.25">
      <c r="A25" s="282" t="s">
        <v>426</v>
      </c>
      <c r="B25" s="283" t="s">
        <v>427</v>
      </c>
      <c r="C25" s="283">
        <v>22</v>
      </c>
      <c r="D25" s="285" t="s">
        <v>400</v>
      </c>
    </row>
    <row r="26" spans="1:4" ht="26.25" thickBot="1" x14ac:dyDescent="0.25">
      <c r="A26" s="282" t="s">
        <v>428</v>
      </c>
      <c r="B26" s="283" t="s">
        <v>429</v>
      </c>
      <c r="C26" s="287">
        <v>30</v>
      </c>
      <c r="D26" s="285" t="s">
        <v>419</v>
      </c>
    </row>
    <row r="27" spans="1:4" ht="13.5" thickBot="1" x14ac:dyDescent="0.25">
      <c r="A27" s="282" t="s">
        <v>430</v>
      </c>
      <c r="B27" s="283" t="s">
        <v>431</v>
      </c>
      <c r="C27" s="283">
        <v>24</v>
      </c>
      <c r="D27" s="285" t="s">
        <v>393</v>
      </c>
    </row>
    <row r="29" spans="1:4" ht="15" x14ac:dyDescent="0.2">
      <c r="A29" s="184" t="s">
        <v>432</v>
      </c>
    </row>
    <row r="32" spans="1:4" ht="15" x14ac:dyDescent="0.2">
      <c r="A32" s="184" t="s">
        <v>433</v>
      </c>
    </row>
    <row r="33" spans="1:1" ht="15" x14ac:dyDescent="0.25">
      <c r="A33"/>
    </row>
    <row r="34" spans="1:1" ht="15" x14ac:dyDescent="0.2">
      <c r="A34" s="184" t="s">
        <v>434</v>
      </c>
    </row>
    <row r="35" spans="1:1" ht="15" x14ac:dyDescent="0.2">
      <c r="A35" s="184" t="s">
        <v>435</v>
      </c>
    </row>
    <row r="36" spans="1:1" ht="15" x14ac:dyDescent="0.2">
      <c r="A36" s="184" t="s">
        <v>436</v>
      </c>
    </row>
    <row r="37" spans="1:1" ht="15" x14ac:dyDescent="0.2">
      <c r="A37" s="184" t="s">
        <v>437</v>
      </c>
    </row>
    <row r="38" spans="1:1" ht="15" x14ac:dyDescent="0.2">
      <c r="A38" s="186" t="s">
        <v>438</v>
      </c>
    </row>
    <row r="39" spans="1:1" ht="15" x14ac:dyDescent="0.2">
      <c r="A39" s="184" t="s">
        <v>439</v>
      </c>
    </row>
    <row r="40" spans="1:1" ht="15.75" x14ac:dyDescent="0.2">
      <c r="A40" s="185" t="s">
        <v>440</v>
      </c>
    </row>
    <row r="41" spans="1:1" ht="15.75" x14ac:dyDescent="0.2">
      <c r="A41" s="185" t="s">
        <v>441</v>
      </c>
    </row>
    <row r="42" spans="1:1" ht="15.75" x14ac:dyDescent="0.2">
      <c r="A42" s="185" t="s">
        <v>442</v>
      </c>
    </row>
    <row r="43" spans="1:1" ht="15.75" x14ac:dyDescent="0.2">
      <c r="A43" s="185" t="s">
        <v>443</v>
      </c>
    </row>
  </sheetData>
  <sheetProtection sheet="1" objects="1" scenarios="1" formatCells="0" formatColumns="0" formatRows="0"/>
  <mergeCells count="1">
    <mergeCell ref="A6:A7"/>
  </mergeCells>
  <pageMargins left="0.7" right="0.7" top="0.75" bottom="0.75" header="0.3" footer="0.3"/>
  <pageSetup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842F-0B04-4455-9F09-3CC144AC5B6D}">
  <sheetPr codeName="Sheet2"/>
  <dimension ref="B1:V75"/>
  <sheetViews>
    <sheetView zoomScale="70" zoomScaleNormal="70" workbookViewId="0"/>
  </sheetViews>
  <sheetFormatPr defaultColWidth="8.7109375" defaultRowHeight="12.75" x14ac:dyDescent="0.2"/>
  <cols>
    <col min="1" max="1" width="4.85546875" style="66" customWidth="1"/>
    <col min="2" max="2" width="13.85546875" style="66" customWidth="1"/>
    <col min="3" max="3" width="35.42578125" style="66" customWidth="1"/>
    <col min="4" max="4" width="12.85546875" style="66" customWidth="1"/>
    <col min="5" max="5" width="16.28515625" style="66" customWidth="1"/>
    <col min="6" max="6" width="13.140625" style="66" customWidth="1"/>
    <col min="7" max="8" width="15.85546875" style="66" customWidth="1"/>
    <col min="9" max="12" width="12.85546875" style="66" customWidth="1"/>
    <col min="13" max="13" width="12.42578125" style="66" customWidth="1"/>
    <col min="14" max="14" width="28.42578125" style="66" customWidth="1"/>
    <col min="15" max="18" width="14.85546875" style="66" customWidth="1"/>
    <col min="19" max="20" width="13.5703125" style="66" customWidth="1"/>
    <col min="21" max="16384" width="8.7109375" style="66"/>
  </cols>
  <sheetData>
    <row r="1" spans="2:22" ht="21" x14ac:dyDescent="0.35">
      <c r="C1" s="83"/>
    </row>
    <row r="2" spans="2:22" ht="21" x14ac:dyDescent="0.35">
      <c r="C2" s="83" t="s">
        <v>0</v>
      </c>
      <c r="M2" s="68"/>
      <c r="T2" s="67"/>
    </row>
    <row r="3" spans="2:22" ht="15.6" customHeight="1" x14ac:dyDescent="0.25">
      <c r="C3" s="67"/>
      <c r="M3" s="68"/>
      <c r="T3" s="67"/>
    </row>
    <row r="4" spans="2:22" ht="21" x14ac:dyDescent="0.35">
      <c r="C4" s="84" t="s">
        <v>83</v>
      </c>
      <c r="D4" s="85"/>
      <c r="E4" s="85"/>
      <c r="F4" s="85"/>
      <c r="G4" s="85"/>
      <c r="H4" s="85"/>
      <c r="I4" s="85"/>
      <c r="J4" s="85"/>
      <c r="K4" s="85"/>
      <c r="L4" s="85"/>
      <c r="N4" s="84" t="s">
        <v>29</v>
      </c>
      <c r="T4" s="67"/>
    </row>
    <row r="5" spans="2:22" ht="21" customHeight="1" x14ac:dyDescent="0.35">
      <c r="C5" s="85"/>
      <c r="D5" s="85"/>
      <c r="E5" s="85"/>
      <c r="F5" s="85"/>
      <c r="G5" s="85"/>
      <c r="H5" s="85"/>
      <c r="I5" s="85"/>
      <c r="J5" s="85"/>
      <c r="K5" s="85"/>
      <c r="L5" s="85"/>
      <c r="N5" s="83"/>
      <c r="T5" s="67"/>
    </row>
    <row r="6" spans="2:22" ht="21" x14ac:dyDescent="0.35">
      <c r="C6" s="83" t="s">
        <v>84</v>
      </c>
      <c r="D6" s="85"/>
      <c r="E6" s="85"/>
      <c r="F6" s="85"/>
      <c r="G6" s="85"/>
      <c r="H6" s="85"/>
      <c r="I6" s="85"/>
      <c r="J6" s="85"/>
      <c r="K6" s="85"/>
      <c r="L6" s="85"/>
      <c r="N6" s="83" t="s">
        <v>84</v>
      </c>
      <c r="T6" s="67"/>
    </row>
    <row r="7" spans="2:22" ht="15.6" customHeight="1" x14ac:dyDescent="0.25">
      <c r="C7" s="67"/>
      <c r="M7" s="68"/>
      <c r="T7" s="67"/>
    </row>
    <row r="8" spans="2:22" ht="38.25" x14ac:dyDescent="0.25">
      <c r="C8" s="592" t="s">
        <v>85</v>
      </c>
      <c r="D8" s="593" t="s">
        <v>23</v>
      </c>
      <c r="E8" s="411" t="s">
        <v>86</v>
      </c>
      <c r="F8" s="411" t="s">
        <v>87</v>
      </c>
      <c r="G8" s="411" t="s">
        <v>88</v>
      </c>
      <c r="H8" s="411" t="s">
        <v>89</v>
      </c>
      <c r="I8" s="411" t="s">
        <v>90</v>
      </c>
      <c r="J8" s="291"/>
      <c r="K8" s="291"/>
      <c r="L8" s="291"/>
      <c r="M8" s="1"/>
      <c r="N8" s="592" t="s">
        <v>85</v>
      </c>
      <c r="O8" s="593" t="s">
        <v>23</v>
      </c>
      <c r="P8" s="411" t="s">
        <v>91</v>
      </c>
      <c r="Q8" s="411" t="s">
        <v>92</v>
      </c>
      <c r="R8" s="411" t="s">
        <v>93</v>
      </c>
      <c r="S8" s="411" t="s">
        <v>94</v>
      </c>
      <c r="T8" s="411" t="s">
        <v>95</v>
      </c>
      <c r="V8" s="67"/>
    </row>
    <row r="9" spans="2:22" ht="42.75" customHeight="1" x14ac:dyDescent="0.25">
      <c r="C9" s="592"/>
      <c r="D9" s="593"/>
      <c r="E9" s="411" t="s">
        <v>96</v>
      </c>
      <c r="F9" s="411" t="s">
        <v>97</v>
      </c>
      <c r="G9" s="411" t="s">
        <v>98</v>
      </c>
      <c r="H9" s="411" t="s">
        <v>98</v>
      </c>
      <c r="I9" s="411" t="s">
        <v>99</v>
      </c>
      <c r="J9" s="291"/>
      <c r="K9" s="291"/>
      <c r="L9" s="291"/>
      <c r="M9" s="1"/>
      <c r="N9" s="592"/>
      <c r="O9" s="593"/>
      <c r="P9" s="411" t="s">
        <v>100</v>
      </c>
      <c r="Q9" s="411" t="s">
        <v>101</v>
      </c>
      <c r="R9" s="411" t="s">
        <v>501</v>
      </c>
      <c r="S9" s="411" t="s">
        <v>102</v>
      </c>
      <c r="T9" s="411" t="s">
        <v>502</v>
      </c>
      <c r="V9" s="67"/>
    </row>
    <row r="10" spans="2:22" ht="15.75" x14ac:dyDescent="0.25">
      <c r="C10" s="88" t="s">
        <v>30</v>
      </c>
      <c r="D10" s="594" t="s">
        <v>103</v>
      </c>
      <c r="E10" s="316">
        <f>INDEX('Inhalation Exposures'!$I$7:$I$74, MATCH('1,2-DCA_product'!$C$2, 'Inhalation Exposures'!$A$7:$A$74, 0))</f>
        <v>7.3</v>
      </c>
      <c r="F10" s="316">
        <f>INDEX('Inhalation Exposures'!K$7:$K$74, MATCH('1,2-DCA_product'!$C$2, 'Inhalation Exposures'!$A$7:$A$74, 0))</f>
        <v>4.9659863945578229</v>
      </c>
      <c r="G10" s="316">
        <f>INDEX('Inhalation Exposures'!$M7:$M74, MATCH('1,2-DCA_product'!$C$2, 'Inhalation Exposures'!$A$7:$A$74, 0))</f>
        <v>3.64172335600907</v>
      </c>
      <c r="H10" s="316">
        <f>INDEX('Inhalation Exposures'!$O$7:$O$74, MATCH('1,2-DCA_product'!$C$2, 'Inhalation Exposures'!$A$7:$A$74, 0))</f>
        <v>3.4013605442176873</v>
      </c>
      <c r="I10" s="316">
        <f>INDEX('Inhalation Exposures'!$Q$7:$Q$74, MATCH('1,2-DCA_product'!$C$2, 'Inhalation Exposures'!$A$7:$A$74, 0))</f>
        <v>1.7442874585731729</v>
      </c>
      <c r="J10" s="89"/>
      <c r="K10" s="89"/>
      <c r="L10" s="89"/>
      <c r="M10" s="1"/>
      <c r="N10" s="595" t="s">
        <v>104</v>
      </c>
      <c r="O10" s="72" t="s">
        <v>103</v>
      </c>
      <c r="P10" s="316">
        <f>IFERROR(INDEX('Dermal Exposures'!$J$5:$J$34, MATCH('1,2-DCA_product'!$C$2, 'Dermal Exposures'!$A$5:$A$34, 0)), "")</f>
        <v>6.6695453999999996</v>
      </c>
      <c r="Q10" s="316">
        <f>IFERROR(INDEX('Dermal Exposures'!$K$5:$K$34, MATCH('1,2-DCA_product'!$C$2, 'Dermal Exposures'!$A$5:$A$34, 0)), "")</f>
        <v>8.3369317499999998E-2</v>
      </c>
      <c r="R10" s="316">
        <f>IFERROR(INDEX('Dermal Exposures'!$L$5:$L$34, MATCH('1,2-DCA_product'!$C$2, 'Dermal Exposures'!$A$5:$A$34, 0)), "")</f>
        <v>6.1137499499999998E-2</v>
      </c>
      <c r="S10" s="316">
        <f>IFERROR(INDEX('Dermal Exposures'!$M$5:$M$34, MATCH('1,2-DCA_product'!$C$2, 'Dermal Exposures'!$A$5:$A$34, 0)), "")</f>
        <v>5.7102272260273965E-2</v>
      </c>
      <c r="T10" s="316">
        <f>IFERROR(INDEX('Dermal Exposures'!$N$5:$N$34, MATCH('1,2-DCA_product'!$C$2, 'Dermal Exposures'!$A$5:$A$34, 0)), "")</f>
        <v>2.9283216543730239E-2</v>
      </c>
      <c r="V10" s="67"/>
    </row>
    <row r="11" spans="2:22" ht="15.6" customHeight="1" x14ac:dyDescent="0.25">
      <c r="C11" s="88" t="s">
        <v>28</v>
      </c>
      <c r="D11" s="594"/>
      <c r="E11" s="316">
        <f>INDEX('Inhalation Exposures'!$I$20:$I$81, MATCH('1,2-DCA_product'!$C$2, 'Inhalation Exposures'!$A$20:$A$81, 0))</f>
        <v>1.6</v>
      </c>
      <c r="F11" s="316">
        <f>INDEX('Inhalation Exposures'!$K$20:$K$81, MATCH('1,2-DCA_product'!$C$2, 'Inhalation Exposures'!$A$20:$A$81, 0))</f>
        <v>1.08843537414966</v>
      </c>
      <c r="G11" s="316">
        <f>INDEX('Inhalation Exposures'!$M$20:$M$81, MATCH('1,2-DCA_product'!$C$2, 'Inhalation Exposures'!$A$20:$A$81, 0))</f>
        <v>0.79818594104308394</v>
      </c>
      <c r="H11" s="316">
        <f>INDEX('Inhalation Exposures'!$O$20:$O$81, MATCH('1,2-DCA_product'!$C$2, 'Inhalation Exposures'!$A$20:$A$81, 0))</f>
        <v>0.74550368092442454</v>
      </c>
      <c r="I11" s="316">
        <f>INDEX('Inhalation Exposures'!$Q$20:$Q$81, MATCH('1,2-DCA_product'!$C$2, 'Inhalation Exposures'!$A$20:$A$81, 0))</f>
        <v>0.38230957996124337</v>
      </c>
      <c r="J11" s="89"/>
      <c r="K11" s="89"/>
      <c r="L11" s="89"/>
      <c r="M11" s="1"/>
      <c r="N11" s="595"/>
      <c r="O11" s="72" t="s">
        <v>27</v>
      </c>
      <c r="P11" s="316">
        <f>IFERROR(INDEX('Dermal Exposures'!$O$5:$O$34, MATCH('1,2-DCA_product'!$C$2, 'Dermal Exposures'!$A$5:$A$34, 0)), "")</f>
        <v>2.2231817999999999</v>
      </c>
      <c r="Q11" s="316">
        <f>IFERROR(INDEX('Dermal Exposures'!$P$5:$P$34, MATCH('1,2-DCA_product'!$C$2, 'Dermal Exposures'!$A$5:$A$34, 0)), "")</f>
        <v>2.7789772499999997E-2</v>
      </c>
      <c r="R11" s="316">
        <f>IFERROR(INDEX('Dermal Exposures'!$Q$5:$Q$34, MATCH('1,2-DCA_product'!$C$2, 'Dermal Exposures'!$A$5:$A$34, 0)), "")</f>
        <v>2.0379166499999997E-2</v>
      </c>
      <c r="S11" s="316">
        <f>IFERROR(INDEX('Dermal Exposures'!$R$5:$R$34, MATCH('1,2-DCA_product'!$C$2, 'Dermal Exposures'!$A$5:$A$34, 0)), "")</f>
        <v>1.9034090753424656E-2</v>
      </c>
      <c r="T11" s="316">
        <f>IFERROR(INDEX('Dermal Exposures'!$S$5:$S$34, MATCH('1,2-DCA_product'!$C$2, 'Dermal Exposures'!$A$5:$A$34, 0)), "")</f>
        <v>7.5648309404636451E-3</v>
      </c>
      <c r="V11" s="67"/>
    </row>
    <row r="12" spans="2:22" ht="15.75" x14ac:dyDescent="0.25">
      <c r="C12" s="88" t="s">
        <v>30</v>
      </c>
      <c r="D12" s="591" t="s">
        <v>27</v>
      </c>
      <c r="E12" s="316">
        <f>INDEX('Inhalation Exposures'!$J$7:$J$74, MATCH('1,2-DCA_product'!$C$2, 'Inhalation Exposures'!$A$7:$A$74, 0))</f>
        <v>0.48</v>
      </c>
      <c r="F12" s="316">
        <f>INDEX('Inhalation Exposures'!L$7:$L$74, MATCH('1,2-DCA_product'!$C$2, 'Inhalation Exposures'!$A$7:$A$74, 0))</f>
        <v>0.32653061224489799</v>
      </c>
      <c r="G12" s="316">
        <f>INDEX('Inhalation Exposures'!$N$7:$N$74, MATCH('1,2-DCA_product'!$C$2, 'Inhalation Exposures'!$A$7:$A$74, 0))</f>
        <v>0.23945578231292514</v>
      </c>
      <c r="H12" s="316">
        <f>INDEX('Inhalation Exposures'!$P$7:$P$74, MATCH('1,2-DCA_product'!$C$2, 'Inhalation Exposures'!$A$7:$A$74, 0))</f>
        <v>0.22365110427732737</v>
      </c>
      <c r="I12" s="316">
        <f>INDEX('Inhalation Exposures'!$R$7:$R$74, MATCH('1,2-DCA_product'!$C$2, 'Inhalation Exposures'!$A$7:$A$74, 0))</f>
        <v>8.888697734098909E-2</v>
      </c>
      <c r="J12" s="89"/>
      <c r="K12" s="89"/>
      <c r="L12" s="89"/>
      <c r="M12" s="1"/>
      <c r="N12" s="565" t="str">
        <f>_xlfn.CONCAT("Worker with Gloves; 
PF of ",'List Values'!$B$16)</f>
        <v>Worker with Gloves; 
PF of 5</v>
      </c>
      <c r="O12" s="71" t="s">
        <v>103</v>
      </c>
      <c r="P12" s="316">
        <f>P10/'List Values'!$B$16</f>
        <v>1.33390908</v>
      </c>
      <c r="Q12" s="316">
        <f>Q10/'List Values'!$B$16</f>
        <v>1.66738635E-2</v>
      </c>
      <c r="R12" s="316">
        <f>R10/'List Values'!$B$16</f>
        <v>1.2227499899999999E-2</v>
      </c>
      <c r="S12" s="316">
        <f>S10/'List Values'!$B$16</f>
        <v>1.1420454452054793E-2</v>
      </c>
      <c r="T12" s="316">
        <f>T10/'List Values'!$B$16</f>
        <v>5.8566433087460477E-3</v>
      </c>
      <c r="U12" s="67"/>
    </row>
    <row r="13" spans="2:22" ht="15.6" customHeight="1" x14ac:dyDescent="0.25">
      <c r="C13" s="88" t="s">
        <v>28</v>
      </c>
      <c r="D13" s="591"/>
      <c r="E13" s="316">
        <f>INDEX('Inhalation Exposures'!$J$20:$J$81, MATCH('1,2-DCA_product'!$C$2, 'Inhalation Exposures'!$A$20:$A$81, 0))</f>
        <v>1.4E-2</v>
      </c>
      <c r="F13" s="316">
        <f>INDEX('Inhalation Exposures'!$L$20:$L$81, MATCH('1,2-DCA_product'!$C$2, 'Inhalation Exposures'!$A$20:$A$81, 0))</f>
        <v>9.5238095238095247E-3</v>
      </c>
      <c r="G13" s="316">
        <f>INDEX('Inhalation Exposures'!$N$20:$N$81, MATCH('1,2-DCA_product'!$C$2, 'Inhalation Exposures'!$A$20:$A$81, 0))</f>
        <v>6.9841269841269841E-3</v>
      </c>
      <c r="H13" s="316">
        <f>INDEX('Inhalation Exposures'!$P$20:$P$81, MATCH('1,2-DCA_product'!$C$2, 'Inhalation Exposures'!$A$20:$A$81, 0))</f>
        <v>6.5231572080887154E-3</v>
      </c>
      <c r="I13" s="316">
        <f>INDEX('Inhalation Exposures'!$R$20:$R$81, MATCH('1,2-DCA_product'!$C$2, 'Inhalation Exposures'!$A$20:$A$81, 0))</f>
        <v>2.5925368391121815E-3</v>
      </c>
      <c r="J13" s="89"/>
      <c r="K13" s="89"/>
      <c r="L13" s="89"/>
      <c r="M13" s="1"/>
      <c r="N13" s="565"/>
      <c r="O13" s="71" t="s">
        <v>27</v>
      </c>
      <c r="P13" s="316">
        <f>P11/'List Values'!$B$16</f>
        <v>0.44463635999999995</v>
      </c>
      <c r="Q13" s="316">
        <f>Q11/'List Values'!$B$16</f>
        <v>5.5579544999999992E-3</v>
      </c>
      <c r="R13" s="316">
        <f>R11/'List Values'!$B$16</f>
        <v>4.0758332999999997E-3</v>
      </c>
      <c r="S13" s="316">
        <f>S11/'List Values'!$B$16</f>
        <v>3.8068181506849311E-3</v>
      </c>
      <c r="T13" s="316">
        <f>T11/'List Values'!$B$16</f>
        <v>1.512966188092729E-3</v>
      </c>
      <c r="U13" s="67"/>
    </row>
    <row r="14" spans="2:22" x14ac:dyDescent="0.2">
      <c r="N14" s="565" t="str">
        <f>_xlfn.CONCAT("Worker with Gloves; 
PF of ",'List Values'!$B$17)</f>
        <v>Worker with Gloves; 
PF of 10</v>
      </c>
      <c r="O14" s="71" t="s">
        <v>103</v>
      </c>
      <c r="P14" s="316">
        <f>P10/'List Values'!$B$17</f>
        <v>0.66695453999999998</v>
      </c>
      <c r="Q14" s="316">
        <f>Q10/'List Values'!$B$17</f>
        <v>8.3369317500000002E-3</v>
      </c>
      <c r="R14" s="316">
        <f>R10/'List Values'!$B$17</f>
        <v>6.1137499499999996E-3</v>
      </c>
      <c r="S14" s="316">
        <f>S10/'List Values'!$B$17</f>
        <v>5.7102272260273965E-3</v>
      </c>
      <c r="T14" s="316">
        <f>T10/'List Values'!$B$17</f>
        <v>2.9283216543730239E-3</v>
      </c>
    </row>
    <row r="15" spans="2:22" ht="21" customHeight="1" x14ac:dyDescent="0.35">
      <c r="C15" s="83" t="s">
        <v>105</v>
      </c>
      <c r="N15" s="565"/>
      <c r="O15" s="71" t="s">
        <v>27</v>
      </c>
      <c r="P15" s="316">
        <f>P11/'List Values'!$B$17</f>
        <v>0.22231817999999998</v>
      </c>
      <c r="Q15" s="316">
        <f>Q11/'List Values'!$B$17</f>
        <v>2.7789772499999996E-3</v>
      </c>
      <c r="R15" s="316">
        <f>R11/'List Values'!$B$17</f>
        <v>2.0379166499999999E-3</v>
      </c>
      <c r="S15" s="316">
        <f>S11/'List Values'!$B$17</f>
        <v>1.9034090753424656E-3</v>
      </c>
      <c r="T15" s="316">
        <f>T11/'List Values'!$B$17</f>
        <v>7.5648309404636451E-4</v>
      </c>
    </row>
    <row r="16" spans="2:22" ht="28.5" customHeight="1" x14ac:dyDescent="0.2">
      <c r="B16" s="70"/>
      <c r="C16" s="568" t="s">
        <v>106</v>
      </c>
      <c r="D16" s="568" t="s">
        <v>107</v>
      </c>
      <c r="E16" s="568" t="s">
        <v>23</v>
      </c>
      <c r="F16" s="568" t="s">
        <v>108</v>
      </c>
      <c r="G16" s="568" t="s">
        <v>109</v>
      </c>
      <c r="H16" s="568"/>
      <c r="I16" s="90"/>
      <c r="J16" s="90"/>
      <c r="K16" s="90"/>
      <c r="L16" s="90"/>
      <c r="N16" s="565" t="str">
        <f>_xlfn.CONCAT("Worker with Gloves; 
PF of ",'List Values'!$B$18)</f>
        <v>Worker with Gloves; 
PF of 20</v>
      </c>
      <c r="O16" s="71" t="s">
        <v>103</v>
      </c>
      <c r="P16" s="316">
        <f>P10/'List Values'!$B$18</f>
        <v>0.33347726999999999</v>
      </c>
      <c r="Q16" s="316">
        <f>Q10/'List Values'!$B$18</f>
        <v>4.1684658750000001E-3</v>
      </c>
      <c r="R16" s="316">
        <f>R10/'List Values'!$B$18</f>
        <v>3.0568749749999998E-3</v>
      </c>
      <c r="S16" s="316">
        <f>S10/'List Values'!$B$18</f>
        <v>2.8551136130136982E-3</v>
      </c>
      <c r="T16" s="316">
        <f>T10/'List Values'!$B$18</f>
        <v>1.4641608271865119E-3</v>
      </c>
    </row>
    <row r="17" spans="2:20" ht="26.1" customHeight="1" x14ac:dyDescent="0.2">
      <c r="B17" s="70"/>
      <c r="C17" s="568"/>
      <c r="D17" s="568"/>
      <c r="E17" s="568"/>
      <c r="F17" s="568"/>
      <c r="G17" s="413" t="s">
        <v>110</v>
      </c>
      <c r="H17" s="413" t="s">
        <v>111</v>
      </c>
      <c r="I17" s="90"/>
      <c r="J17" s="90"/>
      <c r="K17" s="90"/>
      <c r="L17" s="90"/>
      <c r="N17" s="565"/>
      <c r="O17" s="71" t="s">
        <v>27</v>
      </c>
      <c r="P17" s="316">
        <f>P11/'List Values'!$B$18</f>
        <v>0.11115908999999999</v>
      </c>
      <c r="Q17" s="316">
        <f>Q11/'List Values'!$B$18</f>
        <v>1.3894886249999998E-3</v>
      </c>
      <c r="R17" s="316">
        <f>R11/'List Values'!$B$18</f>
        <v>1.0189583249999999E-3</v>
      </c>
      <c r="S17" s="316">
        <f>S11/'List Values'!$B$18</f>
        <v>9.5170453767123278E-4</v>
      </c>
      <c r="T17" s="316">
        <f>T11/'List Values'!$B$18</f>
        <v>3.7824154702318226E-4</v>
      </c>
    </row>
    <row r="18" spans="2:20" ht="27.6" customHeight="1" x14ac:dyDescent="0.2">
      <c r="B18" s="70"/>
      <c r="C18" s="587" t="s">
        <v>112</v>
      </c>
      <c r="D18" s="580">
        <f>INDEX('Health Data'!$G:$G,MATCH($C$2,'Health Data'!$B:$B,0))</f>
        <v>2.4163399353274051</v>
      </c>
      <c r="E18" s="71" t="s">
        <v>103</v>
      </c>
      <c r="F18" s="412">
        <v>30</v>
      </c>
      <c r="G18" s="101">
        <f>D18/$F$10</f>
        <v>0.48657804177140901</v>
      </c>
      <c r="H18" s="102">
        <f>D18/$F$11</f>
        <v>2.220012315582053</v>
      </c>
      <c r="I18" s="77"/>
      <c r="J18" s="77"/>
      <c r="K18" s="77"/>
      <c r="L18" s="77"/>
    </row>
    <row r="19" spans="2:20" ht="25.5" customHeight="1" x14ac:dyDescent="0.35">
      <c r="B19" s="70"/>
      <c r="C19" s="588"/>
      <c r="D19" s="555"/>
      <c r="E19" s="71" t="s">
        <v>27</v>
      </c>
      <c r="F19" s="412">
        <v>30</v>
      </c>
      <c r="G19" s="101">
        <f>D18/$F$12</f>
        <v>7.4000410519401774</v>
      </c>
      <c r="H19" s="102">
        <f>D18/$F$13</f>
        <v>253.71569320937752</v>
      </c>
      <c r="I19" s="77"/>
      <c r="J19" s="77"/>
      <c r="K19" s="77"/>
      <c r="L19" s="77"/>
      <c r="N19" s="83" t="s">
        <v>113</v>
      </c>
    </row>
    <row r="20" spans="2:20" ht="25.5" x14ac:dyDescent="0.2">
      <c r="B20" s="73"/>
      <c r="C20" s="74"/>
      <c r="D20" s="96"/>
      <c r="E20" s="76"/>
      <c r="F20" s="75"/>
      <c r="G20" s="77"/>
      <c r="H20" s="77"/>
      <c r="I20" s="77"/>
      <c r="J20" s="77"/>
      <c r="K20" s="77"/>
      <c r="L20" s="77"/>
      <c r="N20" s="570" t="s">
        <v>106</v>
      </c>
      <c r="O20" s="570" t="s">
        <v>114</v>
      </c>
      <c r="P20" s="570" t="s">
        <v>23</v>
      </c>
      <c r="Q20" s="570" t="s">
        <v>108</v>
      </c>
      <c r="R20" s="411" t="s">
        <v>109</v>
      </c>
    </row>
    <row r="21" spans="2:20" ht="25.5" customHeight="1" x14ac:dyDescent="0.2">
      <c r="B21" s="73"/>
      <c r="C21" s="98" t="s">
        <v>115</v>
      </c>
      <c r="D21" s="96"/>
      <c r="E21" s="76"/>
      <c r="F21" s="75"/>
      <c r="G21" s="77"/>
      <c r="H21" s="77"/>
      <c r="I21" s="77"/>
      <c r="J21" s="77"/>
      <c r="K21" s="77"/>
      <c r="L21" s="77"/>
      <c r="N21" s="571"/>
      <c r="O21" s="571"/>
      <c r="P21" s="571"/>
      <c r="Q21" s="571"/>
      <c r="R21" s="422" t="s">
        <v>116</v>
      </c>
    </row>
    <row r="22" spans="2:20" ht="25.5" customHeight="1" x14ac:dyDescent="0.2">
      <c r="B22" s="73"/>
      <c r="C22" s="568" t="s">
        <v>106</v>
      </c>
      <c r="D22" s="568" t="s">
        <v>107</v>
      </c>
      <c r="E22" s="569" t="s">
        <v>23</v>
      </c>
      <c r="F22" s="568" t="s">
        <v>108</v>
      </c>
      <c r="G22" s="568" t="s">
        <v>117</v>
      </c>
      <c r="H22" s="568"/>
      <c r="I22" s="77"/>
      <c r="J22" s="77"/>
      <c r="K22" s="77"/>
      <c r="L22" s="77"/>
      <c r="N22" s="587" t="s">
        <v>118</v>
      </c>
      <c r="O22" s="589">
        <f>INDEX('Health Data'!$K:$K,MATCH($C$2,'Health Data'!$B:$B,0))</f>
        <v>19.899999999999999</v>
      </c>
      <c r="P22" s="72" t="s">
        <v>103</v>
      </c>
      <c r="Q22" s="412">
        <v>30</v>
      </c>
      <c r="R22" s="101">
        <f>IFERROR(O22/Q10, "")</f>
        <v>238.69692827939966</v>
      </c>
    </row>
    <row r="23" spans="2:20" ht="25.5" customHeight="1" x14ac:dyDescent="0.2">
      <c r="B23" s="73"/>
      <c r="C23" s="582"/>
      <c r="D23" s="582"/>
      <c r="E23" s="586"/>
      <c r="F23" s="582"/>
      <c r="G23" s="415" t="s">
        <v>110</v>
      </c>
      <c r="H23" s="415" t="s">
        <v>111</v>
      </c>
      <c r="I23" s="77"/>
      <c r="J23" s="77"/>
      <c r="K23" s="77"/>
      <c r="L23" s="77"/>
      <c r="N23" s="588"/>
      <c r="O23" s="590"/>
      <c r="P23" s="72" t="s">
        <v>27</v>
      </c>
      <c r="Q23" s="412">
        <v>30</v>
      </c>
      <c r="R23" s="101">
        <f>IFERROR(O22/Q11, "")</f>
        <v>716.09078483819906</v>
      </c>
    </row>
    <row r="24" spans="2:20" ht="25.5" customHeight="1" x14ac:dyDescent="0.2">
      <c r="B24" s="73"/>
      <c r="C24" s="577" t="s">
        <v>119</v>
      </c>
      <c r="D24" s="578">
        <v>22</v>
      </c>
      <c r="E24" s="71" t="s">
        <v>103</v>
      </c>
      <c r="F24" s="412">
        <v>30</v>
      </c>
      <c r="G24" s="419">
        <f>D24/$G$10</f>
        <v>6.0410958904109595</v>
      </c>
      <c r="H24" s="419">
        <f>D24/$G$11</f>
        <v>27.5625</v>
      </c>
      <c r="I24" s="77"/>
      <c r="J24" s="77"/>
      <c r="K24" s="77"/>
      <c r="L24" s="77"/>
      <c r="N24" s="74"/>
      <c r="O24" s="75"/>
      <c r="P24" s="81"/>
      <c r="Q24" s="75"/>
      <c r="R24" s="77"/>
    </row>
    <row r="25" spans="2:20" ht="25.5" customHeight="1" x14ac:dyDescent="0.2">
      <c r="B25" s="73"/>
      <c r="C25" s="577"/>
      <c r="D25" s="559"/>
      <c r="E25" s="71" t="s">
        <v>27</v>
      </c>
      <c r="F25" s="412">
        <v>30</v>
      </c>
      <c r="G25" s="419">
        <f>D24/$G$12</f>
        <v>91.875000000000014</v>
      </c>
      <c r="H25" s="419">
        <f>D24/$G$13</f>
        <v>3150</v>
      </c>
      <c r="I25" s="77"/>
      <c r="J25" s="77"/>
      <c r="K25" s="77"/>
      <c r="L25" s="77"/>
      <c r="N25" s="98" t="s">
        <v>120</v>
      </c>
      <c r="O25" s="75"/>
      <c r="P25" s="81"/>
      <c r="Q25" s="75"/>
      <c r="R25" s="77"/>
    </row>
    <row r="26" spans="2:20" ht="38.25" x14ac:dyDescent="0.2">
      <c r="B26" s="73"/>
      <c r="C26" s="74"/>
      <c r="D26" s="96"/>
      <c r="E26" s="76"/>
      <c r="F26" s="75"/>
      <c r="G26" s="77"/>
      <c r="H26" s="77"/>
      <c r="I26" s="77"/>
      <c r="J26" s="77"/>
      <c r="K26" s="77"/>
      <c r="L26" s="77"/>
      <c r="N26" s="568" t="s">
        <v>106</v>
      </c>
      <c r="O26" s="568" t="s">
        <v>121</v>
      </c>
      <c r="P26" s="569" t="s">
        <v>23</v>
      </c>
      <c r="Q26" s="568" t="s">
        <v>108</v>
      </c>
      <c r="R26" s="413" t="s">
        <v>117</v>
      </c>
    </row>
    <row r="27" spans="2:20" s="85" customFormat="1" ht="21" customHeight="1" x14ac:dyDescent="0.35">
      <c r="B27" s="83"/>
      <c r="C27" s="83" t="s">
        <v>122</v>
      </c>
      <c r="F27" s="86"/>
      <c r="N27" s="568"/>
      <c r="O27" s="568"/>
      <c r="P27" s="569"/>
      <c r="Q27" s="568"/>
      <c r="R27" s="413" t="s">
        <v>116</v>
      </c>
      <c r="S27" s="66"/>
      <c r="T27" s="66"/>
    </row>
    <row r="28" spans="2:20" ht="26.1" customHeight="1" x14ac:dyDescent="0.2">
      <c r="B28" s="79"/>
      <c r="C28" s="568" t="s">
        <v>106</v>
      </c>
      <c r="D28" s="568" t="s">
        <v>107</v>
      </c>
      <c r="E28" s="568" t="s">
        <v>23</v>
      </c>
      <c r="F28" s="568" t="s">
        <v>108</v>
      </c>
      <c r="G28" s="568" t="s">
        <v>123</v>
      </c>
      <c r="H28" s="568"/>
      <c r="I28" s="90"/>
      <c r="J28" s="90"/>
      <c r="K28" s="90"/>
      <c r="L28" s="90"/>
      <c r="N28" s="579" t="s">
        <v>124</v>
      </c>
      <c r="O28" s="585">
        <f>INDEX('Health Data'!$T:$T,MATCH($C$2,'Health Data'!$B:$B,0))</f>
        <v>6.5</v>
      </c>
      <c r="P28" s="72" t="s">
        <v>103</v>
      </c>
      <c r="Q28" s="412">
        <v>30</v>
      </c>
      <c r="R28" s="107">
        <f>IFERROR(O28/$R$10, "")</f>
        <v>106.31772730580845</v>
      </c>
    </row>
    <row r="29" spans="2:20" ht="26.1" customHeight="1" x14ac:dyDescent="0.2">
      <c r="B29" s="79"/>
      <c r="C29" s="568"/>
      <c r="D29" s="568"/>
      <c r="E29" s="568"/>
      <c r="F29" s="568"/>
      <c r="G29" s="413" t="s">
        <v>110</v>
      </c>
      <c r="H29" s="413" t="s">
        <v>111</v>
      </c>
      <c r="I29" s="90"/>
      <c r="J29" s="90"/>
      <c r="K29" s="90"/>
      <c r="L29" s="90"/>
      <c r="N29" s="579"/>
      <c r="O29" s="585"/>
      <c r="P29" s="72" t="s">
        <v>27</v>
      </c>
      <c r="Q29" s="412">
        <v>30</v>
      </c>
      <c r="R29" s="107">
        <f>IFERROR(O28/$R$11, "")</f>
        <v>318.95318191742535</v>
      </c>
    </row>
    <row r="30" spans="2:20" ht="33" customHeight="1" x14ac:dyDescent="0.2">
      <c r="B30" s="79"/>
      <c r="C30" s="577" t="s">
        <v>119</v>
      </c>
      <c r="D30" s="578">
        <f>INDEX('Health Data'!$P:$P,MATCH($C$2,'Health Data'!$B:$B,0))</f>
        <v>5.2378738884397729</v>
      </c>
      <c r="E30" s="72" t="s">
        <v>103</v>
      </c>
      <c r="F30" s="412">
        <v>300</v>
      </c>
      <c r="G30" s="419">
        <f>D30/$H$10</f>
        <v>1.5399349232012931</v>
      </c>
      <c r="H30" s="419">
        <f>D30/$H$11</f>
        <v>7.0259530871059006</v>
      </c>
      <c r="I30" s="77"/>
      <c r="J30" s="77"/>
      <c r="K30" s="77"/>
      <c r="L30" s="77"/>
      <c r="N30" s="74"/>
      <c r="O30" s="75"/>
      <c r="P30" s="81"/>
      <c r="Q30" s="75"/>
      <c r="R30" s="77"/>
    </row>
    <row r="31" spans="2:20" ht="33" customHeight="1" x14ac:dyDescent="0.35">
      <c r="B31" s="79"/>
      <c r="C31" s="577"/>
      <c r="D31" s="559"/>
      <c r="E31" s="72" t="s">
        <v>27</v>
      </c>
      <c r="F31" s="412">
        <v>300</v>
      </c>
      <c r="G31" s="419">
        <f>D30/$H$12</f>
        <v>23.419843623686333</v>
      </c>
      <c r="H31" s="419">
        <f>D30/$H$13</f>
        <v>802.96606709781713</v>
      </c>
      <c r="I31" s="77"/>
      <c r="J31" s="77"/>
      <c r="K31" s="77"/>
      <c r="L31" s="77"/>
      <c r="N31" s="83" t="s">
        <v>125</v>
      </c>
      <c r="O31" s="85"/>
      <c r="P31" s="85"/>
      <c r="Q31" s="85"/>
      <c r="R31" s="85"/>
      <c r="S31" s="85"/>
      <c r="T31" s="85"/>
    </row>
    <row r="32" spans="2:20" ht="25.5" x14ac:dyDescent="0.2">
      <c r="B32" s="79"/>
      <c r="C32" s="80"/>
      <c r="D32" s="75"/>
      <c r="E32" s="81"/>
      <c r="F32" s="75"/>
      <c r="G32" s="77"/>
      <c r="H32" s="77"/>
      <c r="I32" s="77"/>
      <c r="J32" s="77"/>
      <c r="K32" s="77"/>
      <c r="L32" s="77"/>
      <c r="N32" s="566" t="s">
        <v>106</v>
      </c>
      <c r="O32" s="566" t="s">
        <v>121</v>
      </c>
      <c r="P32" s="566" t="s">
        <v>23</v>
      </c>
      <c r="Q32" s="566" t="s">
        <v>108</v>
      </c>
      <c r="R32" s="411" t="s">
        <v>123</v>
      </c>
    </row>
    <row r="33" spans="2:20" ht="33" customHeight="1" x14ac:dyDescent="0.35">
      <c r="B33" s="79"/>
      <c r="C33" s="83" t="s">
        <v>126</v>
      </c>
      <c r="D33" s="85"/>
      <c r="E33" s="85"/>
      <c r="F33" s="85"/>
      <c r="G33" s="85"/>
      <c r="H33" s="85"/>
      <c r="I33" s="77"/>
      <c r="J33" s="77"/>
      <c r="K33" s="77"/>
      <c r="L33" s="77"/>
      <c r="N33" s="581"/>
      <c r="O33" s="567"/>
      <c r="P33" s="567"/>
      <c r="Q33" s="567"/>
      <c r="R33" s="411" t="s">
        <v>116</v>
      </c>
    </row>
    <row r="34" spans="2:20" ht="33" customHeight="1" x14ac:dyDescent="0.2">
      <c r="B34" s="79"/>
      <c r="C34" s="582" t="s">
        <v>127</v>
      </c>
      <c r="D34" s="566" t="s">
        <v>128</v>
      </c>
      <c r="E34" s="566" t="s">
        <v>23</v>
      </c>
      <c r="F34" s="583" t="s">
        <v>129</v>
      </c>
      <c r="G34" s="568" t="s">
        <v>130</v>
      </c>
      <c r="H34" s="568"/>
      <c r="I34" s="77"/>
      <c r="J34" s="77"/>
      <c r="K34" s="77"/>
      <c r="L34" s="77"/>
      <c r="N34" s="579" t="s">
        <v>124</v>
      </c>
      <c r="O34" s="580">
        <f>INDEX('Health Data'!$T:$T,MATCH($C$2,'Health Data'!$B:$B,0))</f>
        <v>6.5</v>
      </c>
      <c r="P34" s="72" t="s">
        <v>103</v>
      </c>
      <c r="Q34" s="412">
        <v>300</v>
      </c>
      <c r="R34" s="107">
        <f>IFERROR(O34/$S$10, "")</f>
        <v>113.83084670208559</v>
      </c>
    </row>
    <row r="35" spans="2:20" ht="33" customHeight="1" x14ac:dyDescent="0.2">
      <c r="B35" s="79"/>
      <c r="C35" s="530"/>
      <c r="D35" s="567"/>
      <c r="E35" s="567"/>
      <c r="F35" s="584"/>
      <c r="G35" s="413" t="s">
        <v>131</v>
      </c>
      <c r="H35" s="413" t="s">
        <v>28</v>
      </c>
      <c r="I35" s="77"/>
      <c r="J35" s="77"/>
      <c r="K35" s="77"/>
      <c r="L35" s="77"/>
      <c r="N35" s="579"/>
      <c r="O35" s="555"/>
      <c r="P35" s="72" t="s">
        <v>27</v>
      </c>
      <c r="Q35" s="412">
        <v>300</v>
      </c>
      <c r="R35" s="107">
        <f>IFERROR(O34/$S$11, "")</f>
        <v>341.49254010625674</v>
      </c>
    </row>
    <row r="36" spans="2:20" ht="33" customHeight="1" x14ac:dyDescent="0.2">
      <c r="B36" s="79"/>
      <c r="C36" s="572" t="s">
        <v>132</v>
      </c>
      <c r="D36" s="574">
        <f>INDEX('Health Data'!$Y:$Y,MATCH($C$2,'Health Data'!$B:$B,0))</f>
        <v>2.8736850715746418E-2</v>
      </c>
      <c r="E36" s="71" t="s">
        <v>103</v>
      </c>
      <c r="F36" s="107">
        <v>1E-4</v>
      </c>
      <c r="G36" s="103">
        <f>I10*D36</f>
        <v>5.0125328302365983E-2</v>
      </c>
      <c r="H36" s="104">
        <f>I11*D36</f>
        <v>1.098637332654597E-2</v>
      </c>
      <c r="I36" s="77"/>
      <c r="J36" s="77"/>
      <c r="K36" s="77"/>
      <c r="L36" s="77"/>
    </row>
    <row r="37" spans="2:20" ht="33" customHeight="1" x14ac:dyDescent="0.35">
      <c r="B37" s="79"/>
      <c r="C37" s="573"/>
      <c r="D37" s="575"/>
      <c r="E37" s="71" t="s">
        <v>27</v>
      </c>
      <c r="F37" s="107">
        <v>1E-4</v>
      </c>
      <c r="G37" s="105">
        <f>I12*D36</f>
        <v>2.5543317984219379E-3</v>
      </c>
      <c r="H37" s="104">
        <f>I13*D36</f>
        <v>7.4501344120639845E-5</v>
      </c>
      <c r="I37" s="77"/>
      <c r="J37" s="77"/>
      <c r="K37" s="77"/>
      <c r="L37" s="77"/>
      <c r="N37" s="83" t="s">
        <v>126</v>
      </c>
      <c r="O37" s="85"/>
      <c r="P37" s="85"/>
      <c r="Q37" s="85"/>
      <c r="R37" s="85"/>
    </row>
    <row r="38" spans="2:20" ht="33" customHeight="1" x14ac:dyDescent="0.2">
      <c r="B38" s="79"/>
      <c r="I38" s="77"/>
      <c r="J38" s="77"/>
      <c r="K38" s="77"/>
      <c r="L38" s="77"/>
      <c r="N38" s="566" t="s">
        <v>127</v>
      </c>
      <c r="O38" s="566" t="s">
        <v>133</v>
      </c>
      <c r="P38" s="566" t="s">
        <v>23</v>
      </c>
      <c r="Q38" s="566" t="s">
        <v>129</v>
      </c>
      <c r="R38" s="411" t="s">
        <v>130</v>
      </c>
    </row>
    <row r="39" spans="2:20" ht="33" customHeight="1" x14ac:dyDescent="0.35">
      <c r="B39" s="79"/>
      <c r="C39" s="83" t="s">
        <v>134</v>
      </c>
      <c r="I39" s="77"/>
      <c r="J39" s="77"/>
      <c r="K39" s="77"/>
      <c r="L39" s="77"/>
      <c r="N39" s="567"/>
      <c r="O39" s="567"/>
      <c r="P39" s="567"/>
      <c r="Q39" s="567"/>
      <c r="R39" s="411" t="s">
        <v>135</v>
      </c>
    </row>
    <row r="40" spans="2:20" ht="24.75" customHeight="1" thickBot="1" x14ac:dyDescent="0.4">
      <c r="B40" s="79"/>
      <c r="C40" s="83"/>
      <c r="I40" s="77"/>
      <c r="J40" s="77"/>
      <c r="K40" s="77"/>
      <c r="L40" s="77"/>
      <c r="N40" s="572" t="s">
        <v>132</v>
      </c>
      <c r="O40" s="574">
        <f>INDEX('Health Data'!$AB:$AB,MATCH($C$2,'Health Data'!$B:$B,0))</f>
        <v>3.9E-2</v>
      </c>
      <c r="P40" s="71" t="s">
        <v>103</v>
      </c>
      <c r="Q40" s="561">
        <v>1E-4</v>
      </c>
      <c r="R40" s="107">
        <f>IFERROR(T10*O40, "")</f>
        <v>1.1420454452054792E-3</v>
      </c>
    </row>
    <row r="41" spans="2:20" ht="27.75" customHeight="1" x14ac:dyDescent="0.25">
      <c r="B41" s="79"/>
      <c r="C41" s="325" t="s">
        <v>136</v>
      </c>
      <c r="I41" s="77"/>
      <c r="J41" s="77"/>
      <c r="K41" s="77"/>
      <c r="L41" s="77"/>
      <c r="N41" s="576"/>
      <c r="O41" s="575"/>
      <c r="P41" s="71" t="s">
        <v>27</v>
      </c>
      <c r="Q41" s="562"/>
      <c r="R41" s="107">
        <f>IFERROR(T11*O40, "")</f>
        <v>2.9502840667808218E-4</v>
      </c>
    </row>
    <row r="42" spans="2:20" ht="16.5" thickBot="1" x14ac:dyDescent="0.3">
      <c r="B42" s="79"/>
      <c r="C42" s="326" t="s">
        <v>30</v>
      </c>
      <c r="I42" s="77"/>
      <c r="J42" s="77"/>
      <c r="K42" s="77"/>
      <c r="L42" s="77"/>
    </row>
    <row r="43" spans="2:20" ht="21" x14ac:dyDescent="0.35">
      <c r="B43" s="79"/>
      <c r="C43" s="317"/>
      <c r="I43" s="77"/>
      <c r="J43" s="77"/>
      <c r="K43" s="77"/>
      <c r="L43" s="77"/>
      <c r="N43" s="83" t="s">
        <v>137</v>
      </c>
    </row>
    <row r="44" spans="2:20" ht="33" customHeight="1" thickBot="1" x14ac:dyDescent="0.25">
      <c r="B44" s="79"/>
      <c r="I44" s="77"/>
      <c r="J44" s="77"/>
      <c r="K44" s="77"/>
      <c r="L44" s="77"/>
    </row>
    <row r="45" spans="2:20" ht="33" customHeight="1" x14ac:dyDescent="0.2">
      <c r="B45" s="548" t="s">
        <v>138</v>
      </c>
      <c r="C45" s="540" t="s">
        <v>107</v>
      </c>
      <c r="D45" s="540" t="s">
        <v>23</v>
      </c>
      <c r="E45" s="540" t="s">
        <v>108</v>
      </c>
      <c r="F45" s="540" t="str">
        <f>_xlfn.CONCAT("Exposure Estimates: ",$C$42," MOE")</f>
        <v>Exposure Estimates: Worker MOE</v>
      </c>
      <c r="G45" s="540"/>
      <c r="H45" s="540"/>
      <c r="I45" s="540"/>
      <c r="J45" s="540"/>
      <c r="K45" s="542"/>
      <c r="L45" s="77"/>
      <c r="N45" s="532" t="s">
        <v>121</v>
      </c>
      <c r="O45" s="540" t="s">
        <v>23</v>
      </c>
      <c r="P45" s="540" t="s">
        <v>108</v>
      </c>
      <c r="Q45" s="540" t="str">
        <f>_xlfn.CONCAT("Exposure Estimates: ",$C$42," MOE")</f>
        <v>Exposure Estimates: Worker MOE</v>
      </c>
      <c r="R45" s="540"/>
      <c r="S45" s="540"/>
      <c r="T45" s="542"/>
    </row>
    <row r="46" spans="2:20" ht="33" customHeight="1" thickBot="1" x14ac:dyDescent="0.25">
      <c r="B46" s="549"/>
      <c r="C46" s="541"/>
      <c r="D46" s="541"/>
      <c r="E46" s="541"/>
      <c r="F46" s="416" t="s">
        <v>139</v>
      </c>
      <c r="G46" s="416" t="s">
        <v>34</v>
      </c>
      <c r="H46" s="416" t="s">
        <v>35</v>
      </c>
      <c r="I46" s="416" t="s">
        <v>32</v>
      </c>
      <c r="J46" s="416" t="s">
        <v>140</v>
      </c>
      <c r="K46" s="290" t="s">
        <v>31</v>
      </c>
      <c r="L46" s="77"/>
      <c r="N46" s="533"/>
      <c r="O46" s="541"/>
      <c r="P46" s="541"/>
      <c r="Q46" s="318" t="s">
        <v>135</v>
      </c>
      <c r="R46" s="318" t="s">
        <v>33</v>
      </c>
      <c r="S46" s="318" t="s">
        <v>141</v>
      </c>
      <c r="T46" s="319" t="s">
        <v>142</v>
      </c>
    </row>
    <row r="47" spans="2:20" ht="33" customHeight="1" x14ac:dyDescent="0.2">
      <c r="B47" s="550" t="s">
        <v>143</v>
      </c>
      <c r="C47" s="555">
        <f>INDEX('Health Data'!$G:$G,MATCH($C$2,'Health Data'!$B:$B,0))</f>
        <v>2.4163399353274051</v>
      </c>
      <c r="D47" s="292" t="s">
        <v>103</v>
      </c>
      <c r="E47" s="421">
        <v>30</v>
      </c>
      <c r="F47" s="304">
        <f>IFERROR($C47/IF($C$42="Worker",$F$10,$F$11), "")</f>
        <v>0.48657804177140901</v>
      </c>
      <c r="G47" s="305">
        <f>IFERROR($F47*'List Values'!$B$9, "")</f>
        <v>4.86578041771409</v>
      </c>
      <c r="H47" s="305">
        <f>IFERROR($F47*'List Values'!$B$10, "")</f>
        <v>12.164451044285226</v>
      </c>
      <c r="I47" s="305">
        <f>IFERROR($F47*'List Values'!$B$11, "")</f>
        <v>24.328902088570452</v>
      </c>
      <c r="J47" s="305">
        <f>IFERROR($F47*'List Values'!$B$12, "")</f>
        <v>486.578041771409</v>
      </c>
      <c r="K47" s="306">
        <f>IFERROR($F47*'List Values'!$B$13, "")</f>
        <v>4865.7804177140897</v>
      </c>
      <c r="L47" s="77"/>
      <c r="N47" s="534">
        <f>INDEX('Health Data'!$K:$K,MATCH($C$2,'Health Data'!$B:$B,0))</f>
        <v>19.899999999999999</v>
      </c>
      <c r="O47" s="292" t="s">
        <v>103</v>
      </c>
      <c r="P47" s="421">
        <v>30</v>
      </c>
      <c r="Q47" s="305">
        <f>IFERROR($N47/Q$10, "")</f>
        <v>238.69692827939966</v>
      </c>
      <c r="R47" s="305">
        <f>IFERROR($N47/$Q$12, "")</f>
        <v>1193.4846413969983</v>
      </c>
      <c r="S47" s="305">
        <f>IFERROR($N47/$Q$14, "")</f>
        <v>2386.9692827939966</v>
      </c>
      <c r="T47" s="306">
        <f>IFERROR($N47/$Q$16, "")</f>
        <v>4773.9385655879933</v>
      </c>
    </row>
    <row r="48" spans="2:20" ht="33" customHeight="1" thickBot="1" x14ac:dyDescent="0.25">
      <c r="B48" s="551"/>
      <c r="C48" s="556"/>
      <c r="D48" s="293" t="s">
        <v>27</v>
      </c>
      <c r="E48" s="418">
        <v>30</v>
      </c>
      <c r="F48" s="303">
        <f>IFERROR($C47/IF($C$42="Worker",$F$12,$F$13), "")</f>
        <v>7.4000410519401774</v>
      </c>
      <c r="G48" s="303">
        <f>IFERROR($F48*'List Values'!$B$9, "")</f>
        <v>74.000410519401768</v>
      </c>
      <c r="H48" s="303">
        <f>IFERROR($F48*'List Values'!$B$10, "")</f>
        <v>185.00102629850443</v>
      </c>
      <c r="I48" s="303">
        <f>IFERROR($F48*'List Values'!$B$11, "")</f>
        <v>370.00205259700886</v>
      </c>
      <c r="J48" s="303">
        <f>IFERROR($F48*'List Values'!$B$12, "")</f>
        <v>7400.0410519401776</v>
      </c>
      <c r="K48" s="307">
        <f>IFERROR($F48*'List Values'!$B$13, "")</f>
        <v>74000.410519401776</v>
      </c>
      <c r="L48" s="77"/>
      <c r="N48" s="535"/>
      <c r="O48" s="293" t="s">
        <v>27</v>
      </c>
      <c r="P48" s="418">
        <v>30</v>
      </c>
      <c r="Q48" s="321">
        <f>IFERROR($N47/$Q$11, "")</f>
        <v>716.09078483819906</v>
      </c>
      <c r="R48" s="321">
        <f>IFERROR($N47/$Q$13, "")</f>
        <v>3580.4539241909952</v>
      </c>
      <c r="S48" s="321">
        <f>IFERROR($N47/$Q$15, "")</f>
        <v>7160.9078483819903</v>
      </c>
      <c r="T48" s="322">
        <f>IFERROR($N47/$Q$17, "")</f>
        <v>14321.815696763981</v>
      </c>
    </row>
    <row r="49" spans="2:20" ht="33" customHeight="1" x14ac:dyDescent="0.2">
      <c r="B49" s="552" t="s">
        <v>144</v>
      </c>
      <c r="C49" s="557">
        <v>22</v>
      </c>
      <c r="D49" s="299" t="s">
        <v>103</v>
      </c>
      <c r="E49" s="417">
        <v>30</v>
      </c>
      <c r="F49" s="300">
        <f>IFERROR($C49/IF($C$42="Worker",$G$10,$G$11), "")</f>
        <v>6.0410958904109595</v>
      </c>
      <c r="G49" s="301">
        <f>IFERROR($F49*'List Values'!$B$9, "")</f>
        <v>60.410958904109592</v>
      </c>
      <c r="H49" s="301">
        <f>IFERROR($F49*'List Values'!$B$10, "")</f>
        <v>151.027397260274</v>
      </c>
      <c r="I49" s="301">
        <f>IFERROR($F49*'List Values'!$B$11, "")</f>
        <v>302.054794520548</v>
      </c>
      <c r="J49" s="301">
        <f>IFERROR($F49*'List Values'!$B$12, "")</f>
        <v>6041.0958904109593</v>
      </c>
      <c r="K49" s="302">
        <f>IFERROR($F49*'List Values'!$B$13, "")</f>
        <v>60410.958904109597</v>
      </c>
      <c r="L49" s="77"/>
      <c r="N49" s="536">
        <f>INDEX('Health Data'!$T:$T,MATCH($C$2,'Health Data'!$B:$B,0))</f>
        <v>6.5</v>
      </c>
      <c r="O49" s="299" t="s">
        <v>103</v>
      </c>
      <c r="P49" s="417">
        <v>30</v>
      </c>
      <c r="Q49" s="301">
        <f>IFERROR($N$49/$R$10, "")</f>
        <v>106.31772730580845</v>
      </c>
      <c r="R49" s="301">
        <f>IFERROR($N$49/$R$12, "")</f>
        <v>531.58863652904222</v>
      </c>
      <c r="S49" s="301">
        <f>IFERROR($N$49/$R$14, "")</f>
        <v>1063.1772730580844</v>
      </c>
      <c r="T49" s="302">
        <f>IFERROR($N$49/$R$16, "")</f>
        <v>2126.3545461161689</v>
      </c>
    </row>
    <row r="50" spans="2:20" ht="33" customHeight="1" thickBot="1" x14ac:dyDescent="0.25">
      <c r="B50" s="551"/>
      <c r="C50" s="558"/>
      <c r="D50" s="293" t="s">
        <v>27</v>
      </c>
      <c r="E50" s="418">
        <v>30</v>
      </c>
      <c r="F50" s="303">
        <f>IFERROR($C49/IF($C$42="Worker",$G$12,$G$13), "")</f>
        <v>91.875000000000014</v>
      </c>
      <c r="G50" s="303">
        <f>IFERROR($F50*'List Values'!$B$9, "")</f>
        <v>918.75000000000011</v>
      </c>
      <c r="H50" s="303">
        <f>IFERROR($F50*'List Values'!$B$10, "")</f>
        <v>2296.8750000000005</v>
      </c>
      <c r="I50" s="303">
        <f>IFERROR($F50*'List Values'!$B$11, "")</f>
        <v>4593.7500000000009</v>
      </c>
      <c r="J50" s="303">
        <f>IFERROR($F50*'List Values'!$B$12, "")</f>
        <v>91875.000000000015</v>
      </c>
      <c r="K50" s="307">
        <f>IFERROR($F50*'List Values'!$B$13, "")</f>
        <v>918750.00000000012</v>
      </c>
      <c r="L50" s="77"/>
      <c r="N50" s="537"/>
      <c r="O50" s="293" t="s">
        <v>27</v>
      </c>
      <c r="P50" s="418">
        <v>30</v>
      </c>
      <c r="Q50" s="321">
        <f>IFERROR($N$49/$R$11, "")</f>
        <v>318.95318191742535</v>
      </c>
      <c r="R50" s="321">
        <f>IFERROR($N$49/$R$13, "")</f>
        <v>1594.7659095871268</v>
      </c>
      <c r="S50" s="321">
        <f>IFERROR($N$49/$R$15, "")</f>
        <v>3189.5318191742535</v>
      </c>
      <c r="T50" s="322">
        <f>IFERROR($N$49/$R$17, "")</f>
        <v>6379.0636383485071</v>
      </c>
    </row>
    <row r="51" spans="2:20" ht="33" customHeight="1" x14ac:dyDescent="0.2">
      <c r="B51" s="553" t="s">
        <v>145</v>
      </c>
      <c r="C51" s="559">
        <f>INDEX('Health Data'!$P:$P,MATCH($C$2,'Health Data'!$B:$B,0))</f>
        <v>5.2378738884397729</v>
      </c>
      <c r="D51" s="292" t="s">
        <v>103</v>
      </c>
      <c r="E51" s="421">
        <v>300</v>
      </c>
      <c r="F51" s="304">
        <f>IFERROR($C51/IF($C$42="Worker",$H$10,$H$11), "")</f>
        <v>1.5399349232012931</v>
      </c>
      <c r="G51" s="305">
        <f>IFERROR($F51*'List Values'!$B$9, "")</f>
        <v>15.399349232012931</v>
      </c>
      <c r="H51" s="305">
        <f>IFERROR($F51*'List Values'!$B$10, "")</f>
        <v>38.49837308003233</v>
      </c>
      <c r="I51" s="305">
        <f>IFERROR($F51*'List Values'!$B$11, "")</f>
        <v>76.99674616006466</v>
      </c>
      <c r="J51" s="305">
        <f>IFERROR($F51*'List Values'!$B$12, "")</f>
        <v>1539.934923201293</v>
      </c>
      <c r="K51" s="306">
        <f>IFERROR($F51*'List Values'!$B$13, "")</f>
        <v>15399.349232012932</v>
      </c>
      <c r="L51" s="77"/>
      <c r="N51" s="538">
        <f>INDEX('Health Data'!$T:$T,MATCH($C$2,'Health Data'!$B:$B,0))</f>
        <v>6.5</v>
      </c>
      <c r="O51" s="292" t="s">
        <v>103</v>
      </c>
      <c r="P51" s="421">
        <v>300</v>
      </c>
      <c r="Q51" s="305">
        <f>IFERROR($N$51/$S$10, "")</f>
        <v>113.83084670208559</v>
      </c>
      <c r="R51" s="305">
        <f>IFERROR($N$51/$S$12, "")</f>
        <v>569.15423351042796</v>
      </c>
      <c r="S51" s="305">
        <f>IFERROR($N$51/$S$14, "")</f>
        <v>1138.3084670208559</v>
      </c>
      <c r="T51" s="306">
        <f>IFERROR($N$51/$S$16, "")</f>
        <v>2276.6169340417118</v>
      </c>
    </row>
    <row r="52" spans="2:20" ht="33" customHeight="1" thickBot="1" x14ac:dyDescent="0.25">
      <c r="B52" s="554"/>
      <c r="C52" s="560"/>
      <c r="D52" s="293" t="s">
        <v>27</v>
      </c>
      <c r="E52" s="418">
        <v>300</v>
      </c>
      <c r="F52" s="303">
        <f>IFERROR($C51/IF($C$42="Worker",$H$12,$H$13), "")</f>
        <v>23.419843623686333</v>
      </c>
      <c r="G52" s="303">
        <f>IFERROR($F52*'List Values'!$B$9, "")</f>
        <v>234.19843623686333</v>
      </c>
      <c r="H52" s="303">
        <f>IFERROR($F52*'List Values'!$B$10, "")</f>
        <v>585.49609059215834</v>
      </c>
      <c r="I52" s="303">
        <f>IFERROR($F52*'List Values'!$B$11, "")</f>
        <v>1170.9921811843167</v>
      </c>
      <c r="J52" s="303">
        <f>IFERROR($F52*'List Values'!$B$12, "")</f>
        <v>23419.843623686334</v>
      </c>
      <c r="K52" s="307">
        <f>IFERROR($F52*'List Values'!$B$13, "")</f>
        <v>234198.43623686332</v>
      </c>
      <c r="L52" s="77"/>
      <c r="N52" s="539"/>
      <c r="O52" s="320" t="s">
        <v>27</v>
      </c>
      <c r="P52" s="420">
        <v>300</v>
      </c>
      <c r="Q52" s="323">
        <f>IFERROR($N$51/$S$11, "")</f>
        <v>341.49254010625674</v>
      </c>
      <c r="R52" s="323">
        <f>IFERROR($N$51/$S$13, "")</f>
        <v>1707.4627005312839</v>
      </c>
      <c r="S52" s="323">
        <f>IFERROR($N$51/$S$15, "")</f>
        <v>3414.9254010625677</v>
      </c>
      <c r="T52" s="324">
        <f>IFERROR($N$51/$S$17, "")</f>
        <v>6829.8508021251355</v>
      </c>
    </row>
    <row r="53" spans="2:20" ht="33" customHeight="1" x14ac:dyDescent="0.2">
      <c r="B53" s="294"/>
      <c r="C53" s="547" t="s">
        <v>146</v>
      </c>
      <c r="D53" s="530" t="s">
        <v>23</v>
      </c>
      <c r="E53" s="530" t="s">
        <v>108</v>
      </c>
      <c r="F53" s="530" t="str">
        <f>_xlfn.CONCAT("Exposure Estimates: ",$C$42," MOE")</f>
        <v>Exposure Estimates: Worker MOE</v>
      </c>
      <c r="G53" s="530"/>
      <c r="H53" s="530"/>
      <c r="I53" s="530"/>
      <c r="J53" s="530"/>
      <c r="K53" s="531"/>
      <c r="L53" s="77"/>
      <c r="N53" s="532" t="s">
        <v>147</v>
      </c>
      <c r="O53" s="540" t="s">
        <v>23</v>
      </c>
      <c r="P53" s="540" t="s">
        <v>108</v>
      </c>
      <c r="Q53" s="540" t="str">
        <f>_xlfn.CONCAT("Exposure Estimates: ",$I$4," MOE")</f>
        <v>Exposure Estimates:  MOE</v>
      </c>
      <c r="R53" s="540"/>
      <c r="S53" s="540"/>
      <c r="T53" s="542"/>
    </row>
    <row r="54" spans="2:20" ht="33" customHeight="1" thickBot="1" x14ac:dyDescent="0.25">
      <c r="B54" s="294"/>
      <c r="C54" s="533"/>
      <c r="D54" s="541"/>
      <c r="E54" s="541"/>
      <c r="F54" s="416" t="s">
        <v>139</v>
      </c>
      <c r="G54" s="416" t="s">
        <v>34</v>
      </c>
      <c r="H54" s="416" t="s">
        <v>35</v>
      </c>
      <c r="I54" s="416" t="s">
        <v>32</v>
      </c>
      <c r="J54" s="416" t="s">
        <v>140</v>
      </c>
      <c r="K54" s="290" t="s">
        <v>31</v>
      </c>
      <c r="L54" s="77"/>
      <c r="N54" s="533"/>
      <c r="O54" s="541"/>
      <c r="P54" s="541"/>
      <c r="Q54" s="318" t="s">
        <v>135</v>
      </c>
      <c r="R54" s="318" t="s">
        <v>33</v>
      </c>
      <c r="S54" s="318" t="s">
        <v>141</v>
      </c>
      <c r="T54" s="319" t="s">
        <v>142</v>
      </c>
    </row>
    <row r="55" spans="2:20" ht="33" customHeight="1" x14ac:dyDescent="0.2">
      <c r="B55" s="545" t="s">
        <v>148</v>
      </c>
      <c r="C55" s="543">
        <f>INDEX('Health Data'!$Y:$Y,MATCH($C$2,'Health Data'!$B:$B,0))</f>
        <v>2.8736850715746418E-2</v>
      </c>
      <c r="D55" s="299" t="s">
        <v>103</v>
      </c>
      <c r="E55" s="107">
        <v>1E-4</v>
      </c>
      <c r="F55" s="308">
        <f>IFERROR($C55*IF($C$42="Worker",$I$10,$I$11), "")</f>
        <v>5.0125328302365983E-2</v>
      </c>
      <c r="G55" s="309">
        <f>IFERROR($F55/'List Values'!$B$9, "")</f>
        <v>5.0125328302365983E-3</v>
      </c>
      <c r="H55" s="309">
        <f>IFERROR($F55/'List Values'!$B$10, "")</f>
        <v>2.0050131320946394E-3</v>
      </c>
      <c r="I55" s="309">
        <f>IFERROR($F55/'List Values'!$B$11, "")</f>
        <v>1.0025065660473197E-3</v>
      </c>
      <c r="J55" s="309">
        <f>IFERROR($F55/'List Values'!$B$12, "")</f>
        <v>5.0125328302365984E-5</v>
      </c>
      <c r="K55" s="310">
        <f>IFERROR($F55/'List Values'!$B$13, "")</f>
        <v>5.0125328302365981E-6</v>
      </c>
      <c r="L55" s="77"/>
      <c r="N55" s="563">
        <f>INDEX('Health Data'!$AB:$AB,MATCH($C$2,'Health Data'!$B:$B,0))</f>
        <v>3.9E-2</v>
      </c>
      <c r="O55" s="292" t="s">
        <v>103</v>
      </c>
      <c r="P55" s="561">
        <v>1E-4</v>
      </c>
      <c r="Q55" s="305">
        <f>IFERROR($N$55*$T10, "")</f>
        <v>1.1420454452054792E-3</v>
      </c>
      <c r="R55" s="305">
        <f>IFERROR($N$55*$T12, "")</f>
        <v>2.2840908904109587E-4</v>
      </c>
      <c r="S55" s="305">
        <f>IFERROR($N$55*$T14, "")</f>
        <v>1.1420454452054793E-4</v>
      </c>
      <c r="T55" s="306">
        <f>IFERROR($N$55*$T16, "")</f>
        <v>5.7102272260273967E-5</v>
      </c>
    </row>
    <row r="56" spans="2:20" ht="33" customHeight="1" thickBot="1" x14ac:dyDescent="0.25">
      <c r="B56" s="546"/>
      <c r="C56" s="544"/>
      <c r="D56" s="293" t="s">
        <v>27</v>
      </c>
      <c r="E56" s="107">
        <v>1E-4</v>
      </c>
      <c r="F56" s="337">
        <f>IFERROR($C55*IF($C$42="Worker",$I$12,$I$13), "")</f>
        <v>2.5543317984219379E-3</v>
      </c>
      <c r="G56" s="338">
        <f>IFERROR($F56/'List Values'!$B$9, "")</f>
        <v>2.5543317984219377E-4</v>
      </c>
      <c r="H56" s="338">
        <f>IFERROR($F56/'List Values'!$B$10, "")</f>
        <v>1.0217327193687752E-4</v>
      </c>
      <c r="I56" s="338">
        <f>IFERROR($F56/'List Values'!$B$11, "")</f>
        <v>5.1086635968438758E-5</v>
      </c>
      <c r="J56" s="338">
        <f>IFERROR($F56/'List Values'!$B$12, "")</f>
        <v>2.5543317984219378E-6</v>
      </c>
      <c r="K56" s="339">
        <f>IFERROR($F56/'List Values'!$B$13, "")</f>
        <v>2.5543317984219379E-7</v>
      </c>
      <c r="L56" s="77"/>
      <c r="N56" s="564"/>
      <c r="O56" s="293" t="s">
        <v>27</v>
      </c>
      <c r="P56" s="562"/>
      <c r="Q56" s="321">
        <f>IFERROR($N$55*$T11, "")</f>
        <v>2.9502840667808218E-4</v>
      </c>
      <c r="R56" s="321">
        <f>IFERROR($N$55*$T13, "")</f>
        <v>5.9005681335616434E-5</v>
      </c>
      <c r="S56" s="321">
        <f>IFERROR($N$55*$T15, "")</f>
        <v>2.9502840667808217E-5</v>
      </c>
      <c r="T56" s="322">
        <f>IFERROR($N$55*$T17, "")</f>
        <v>1.4751420333904108E-5</v>
      </c>
    </row>
    <row r="57" spans="2:20" ht="33" customHeight="1" x14ac:dyDescent="0.2">
      <c r="B57" s="79"/>
      <c r="I57" s="77"/>
      <c r="J57" s="77"/>
      <c r="K57" s="77"/>
      <c r="L57" s="77"/>
    </row>
    <row r="58" spans="2:20" ht="33" customHeight="1" x14ac:dyDescent="0.2">
      <c r="B58" s="79"/>
      <c r="I58" s="77"/>
      <c r="J58" s="77"/>
      <c r="K58" s="77"/>
      <c r="L58" s="77"/>
    </row>
    <row r="59" spans="2:20" ht="33" customHeight="1" x14ac:dyDescent="0.2">
      <c r="B59" s="79"/>
      <c r="I59" s="77"/>
      <c r="J59" s="77"/>
      <c r="K59" s="77"/>
      <c r="L59" s="77"/>
    </row>
    <row r="60" spans="2:20" ht="33" customHeight="1" x14ac:dyDescent="0.2">
      <c r="B60" s="79"/>
      <c r="I60" s="77"/>
      <c r="J60" s="77"/>
      <c r="K60" s="77"/>
      <c r="L60" s="77"/>
    </row>
    <row r="61" spans="2:20" ht="33" customHeight="1" x14ac:dyDescent="0.2">
      <c r="B61" s="79"/>
      <c r="I61" s="77"/>
      <c r="J61" s="77"/>
      <c r="K61" s="77"/>
      <c r="L61" s="77"/>
    </row>
    <row r="62" spans="2:20" ht="33" customHeight="1" x14ac:dyDescent="0.2">
      <c r="B62" s="79"/>
      <c r="I62" s="77"/>
      <c r="J62" s="77"/>
      <c r="K62" s="77"/>
      <c r="L62" s="77"/>
    </row>
    <row r="63" spans="2:20" ht="33" customHeight="1" x14ac:dyDescent="0.2">
      <c r="B63" s="79"/>
      <c r="I63" s="77"/>
      <c r="J63" s="77"/>
      <c r="K63" s="77"/>
      <c r="L63" s="77"/>
    </row>
    <row r="64" spans="2:20" ht="33" customHeight="1" x14ac:dyDescent="0.2">
      <c r="B64" s="79"/>
      <c r="I64" s="77"/>
      <c r="J64" s="77"/>
      <c r="K64" s="77"/>
      <c r="L64" s="77"/>
    </row>
    <row r="65" spans="2:18" ht="33" customHeight="1" x14ac:dyDescent="0.2">
      <c r="B65" s="79"/>
      <c r="I65" s="77"/>
      <c r="J65" s="77"/>
      <c r="K65" s="77"/>
      <c r="L65" s="77"/>
    </row>
    <row r="66" spans="2:18" s="85" customFormat="1" ht="21" x14ac:dyDescent="0.35">
      <c r="C66" s="66"/>
      <c r="D66" s="66"/>
      <c r="E66" s="66"/>
      <c r="F66" s="66"/>
      <c r="G66" s="66"/>
      <c r="H66" s="66"/>
      <c r="N66" s="66"/>
      <c r="O66" s="66"/>
      <c r="P66" s="66"/>
      <c r="Q66" s="66"/>
      <c r="R66" s="66"/>
    </row>
    <row r="67" spans="2:18" ht="25.5" customHeight="1" x14ac:dyDescent="0.2">
      <c r="B67" s="82"/>
      <c r="I67" s="90"/>
      <c r="J67" s="90"/>
      <c r="K67" s="90"/>
      <c r="L67" s="90"/>
    </row>
    <row r="68" spans="2:18" ht="14.45" customHeight="1" x14ac:dyDescent="0.2">
      <c r="B68" s="82"/>
      <c r="I68" s="90"/>
      <c r="J68" s="90"/>
      <c r="K68" s="90"/>
      <c r="L68" s="90"/>
    </row>
    <row r="69" spans="2:18" ht="12.95" customHeight="1" x14ac:dyDescent="0.2">
      <c r="B69" s="82"/>
      <c r="I69" s="89"/>
      <c r="J69" s="89"/>
      <c r="K69" s="89"/>
      <c r="L69" s="89"/>
    </row>
    <row r="70" spans="2:18" x14ac:dyDescent="0.2">
      <c r="B70" s="82"/>
      <c r="I70" s="89"/>
      <c r="J70" s="89"/>
      <c r="K70" s="89"/>
      <c r="L70" s="89"/>
    </row>
    <row r="74" spans="2:18" ht="29.1" customHeight="1" x14ac:dyDescent="0.2"/>
    <row r="75" spans="2:18" ht="12.95" customHeight="1" x14ac:dyDescent="0.2"/>
  </sheetData>
  <sheetProtection sheet="1" objects="1" scenarios="1" formatCells="0" formatColumns="0" formatRows="0"/>
  <mergeCells count="93">
    <mergeCell ref="C8:C9"/>
    <mergeCell ref="D8:D9"/>
    <mergeCell ref="N8:N9"/>
    <mergeCell ref="O8:O9"/>
    <mergeCell ref="D10:D11"/>
    <mergeCell ref="N10:N11"/>
    <mergeCell ref="G16:H16"/>
    <mergeCell ref="D12:D13"/>
    <mergeCell ref="C16:C17"/>
    <mergeCell ref="D16:D17"/>
    <mergeCell ref="E16:E17"/>
    <mergeCell ref="F16:F17"/>
    <mergeCell ref="O20:O21"/>
    <mergeCell ref="P20:P21"/>
    <mergeCell ref="Q20:Q21"/>
    <mergeCell ref="C18:C19"/>
    <mergeCell ref="D18:D19"/>
    <mergeCell ref="C24:C25"/>
    <mergeCell ref="D24:D25"/>
    <mergeCell ref="N28:N29"/>
    <mergeCell ref="O28:O29"/>
    <mergeCell ref="C22:C23"/>
    <mergeCell ref="D22:D23"/>
    <mergeCell ref="E22:E23"/>
    <mergeCell ref="F22:F23"/>
    <mergeCell ref="G22:H22"/>
    <mergeCell ref="N26:N27"/>
    <mergeCell ref="N22:N23"/>
    <mergeCell ref="O22:O23"/>
    <mergeCell ref="C30:C31"/>
    <mergeCell ref="D30:D31"/>
    <mergeCell ref="N34:N35"/>
    <mergeCell ref="O34:O35"/>
    <mergeCell ref="C28:C29"/>
    <mergeCell ref="D28:D29"/>
    <mergeCell ref="E28:E29"/>
    <mergeCell ref="F28:F29"/>
    <mergeCell ref="G28:H28"/>
    <mergeCell ref="N32:N33"/>
    <mergeCell ref="C34:C35"/>
    <mergeCell ref="D34:D35"/>
    <mergeCell ref="E34:E35"/>
    <mergeCell ref="F34:F35"/>
    <mergeCell ref="G34:H34"/>
    <mergeCell ref="C36:C37"/>
    <mergeCell ref="D36:D37"/>
    <mergeCell ref="N40:N41"/>
    <mergeCell ref="O40:O41"/>
    <mergeCell ref="Q40:Q41"/>
    <mergeCell ref="N38:N39"/>
    <mergeCell ref="P55:P56"/>
    <mergeCell ref="N55:N56"/>
    <mergeCell ref="Q45:T45"/>
    <mergeCell ref="N12:N13"/>
    <mergeCell ref="N14:N15"/>
    <mergeCell ref="N16:N17"/>
    <mergeCell ref="O38:O39"/>
    <mergeCell ref="P38:P39"/>
    <mergeCell ref="Q38:Q39"/>
    <mergeCell ref="O32:O33"/>
    <mergeCell ref="P32:P33"/>
    <mergeCell ref="Q32:Q33"/>
    <mergeCell ref="O26:O27"/>
    <mergeCell ref="P26:P27"/>
    <mergeCell ref="Q26:Q27"/>
    <mergeCell ref="N20:N21"/>
    <mergeCell ref="O45:O46"/>
    <mergeCell ref="P45:P46"/>
    <mergeCell ref="O53:O54"/>
    <mergeCell ref="P53:P54"/>
    <mergeCell ref="Q53:T53"/>
    <mergeCell ref="D45:D46"/>
    <mergeCell ref="E45:E46"/>
    <mergeCell ref="F45:K45"/>
    <mergeCell ref="C55:C56"/>
    <mergeCell ref="B55:B56"/>
    <mergeCell ref="C53:C54"/>
    <mergeCell ref="D53:D54"/>
    <mergeCell ref="B45:B46"/>
    <mergeCell ref="B47:B48"/>
    <mergeCell ref="B49:B50"/>
    <mergeCell ref="B51:B52"/>
    <mergeCell ref="C47:C48"/>
    <mergeCell ref="C49:C50"/>
    <mergeCell ref="C51:C52"/>
    <mergeCell ref="C45:C46"/>
    <mergeCell ref="E53:E54"/>
    <mergeCell ref="F53:K53"/>
    <mergeCell ref="N45:N46"/>
    <mergeCell ref="N47:N48"/>
    <mergeCell ref="N49:N50"/>
    <mergeCell ref="N51:N52"/>
    <mergeCell ref="N53:N54"/>
  </mergeCells>
  <conditionalFormatting sqref="E10:I13">
    <cfRule type="containsBlanks" dxfId="1837" priority="94" stopIfTrue="1">
      <formula>LEN(TRIM(E10))=0</formula>
    </cfRule>
    <cfRule type="cellIs" dxfId="1836" priority="95" operator="equal">
      <formula>0</formula>
    </cfRule>
    <cfRule type="cellIs" dxfId="1835" priority="96" operator="lessThan">
      <formula>0.1</formula>
    </cfRule>
    <cfRule type="cellIs" dxfId="1834" priority="97" operator="between">
      <formula>0.1</formula>
      <formula>0.999</formula>
    </cfRule>
    <cfRule type="cellIs" dxfId="1833" priority="98" operator="between">
      <formula>1</formula>
      <formula>10</formula>
    </cfRule>
    <cfRule type="cellIs" dxfId="1832" priority="99" operator="greaterThan">
      <formula>10</formula>
    </cfRule>
    <cfRule type="cellIs" dxfId="1831" priority="100" operator="greaterThan">
      <formula>10000</formula>
    </cfRule>
    <cfRule type="cellIs" dxfId="1830" priority="89" operator="greaterThanOrEqual">
      <formula>10000</formula>
    </cfRule>
    <cfRule type="cellIs" dxfId="1829" priority="90" operator="greaterThanOrEqual">
      <formula>10</formula>
    </cfRule>
    <cfRule type="cellIs" dxfId="1828" priority="91" operator="between">
      <formula>1</formula>
      <formula>9.999</formula>
    </cfRule>
    <cfRule type="cellIs" dxfId="1827" priority="92" operator="between">
      <formula>0.1</formula>
      <formula>0.999</formula>
    </cfRule>
    <cfRule type="cellIs" dxfId="1826" priority="93" operator="lessThanOrEqual">
      <formula>0.1</formula>
    </cfRule>
  </conditionalFormatting>
  <conditionalFormatting sqref="F47:K48">
    <cfRule type="cellIs" dxfId="1825" priority="149" operator="greaterThanOrEqual">
      <formula>$E$47</formula>
    </cfRule>
    <cfRule type="cellIs" dxfId="1824" priority="150" operator="lessThan">
      <formula>$E$47</formula>
    </cfRule>
  </conditionalFormatting>
  <conditionalFormatting sqref="F47:K52">
    <cfRule type="cellIs" dxfId="1823" priority="128" operator="greaterThanOrEqual">
      <formula>10</formula>
    </cfRule>
    <cfRule type="cellIs" dxfId="1822" priority="129" operator="between">
      <formula>1</formula>
      <formula>9.999</formula>
    </cfRule>
    <cfRule type="cellIs" dxfId="1821" priority="127" operator="greaterThanOrEqual">
      <formula>10000</formula>
    </cfRule>
    <cfRule type="containsBlanks" dxfId="1820" priority="132" stopIfTrue="1">
      <formula>LEN(TRIM(F47))=0</formula>
    </cfRule>
    <cfRule type="cellIs" dxfId="1819" priority="131" operator="lessThanOrEqual">
      <formula>0.1</formula>
    </cfRule>
    <cfRule type="cellIs" dxfId="1818" priority="130" operator="between">
      <formula>0.1</formula>
      <formula>0.999</formula>
    </cfRule>
  </conditionalFormatting>
  <conditionalFormatting sqref="F49:K50">
    <cfRule type="cellIs" dxfId="1817" priority="141" operator="greaterThanOrEqual">
      <formula>$E$49</formula>
    </cfRule>
    <cfRule type="cellIs" dxfId="1816" priority="142" operator="lessThan">
      <formula>$E$49</formula>
    </cfRule>
  </conditionalFormatting>
  <conditionalFormatting sqref="F51:K52">
    <cfRule type="cellIs" dxfId="1815" priority="134" operator="lessThan">
      <formula>$E$51</formula>
    </cfRule>
    <cfRule type="cellIs" dxfId="1814" priority="133" operator="greaterThanOrEqual">
      <formula>$E$51</formula>
    </cfRule>
  </conditionalFormatting>
  <conditionalFormatting sqref="F55:K55">
    <cfRule type="containsBlanks" dxfId="1813" priority="116" stopIfTrue="1">
      <formula>LEN(TRIM(F55))=0</formula>
    </cfRule>
    <cfRule type="cellIs" dxfId="1812" priority="117" operator="greaterThanOrEqual">
      <formula>0.0001</formula>
    </cfRule>
  </conditionalFormatting>
  <conditionalFormatting sqref="F55:K56">
    <cfRule type="cellIs" dxfId="1811" priority="2" operator="between">
      <formula>0.1</formula>
      <formula>0.999</formula>
    </cfRule>
    <cfRule type="cellIs" dxfId="1810" priority="8" operator="greaterThanOrEqual">
      <formula>10</formula>
    </cfRule>
    <cfRule type="cellIs" dxfId="1809" priority="7" operator="greaterThanOrEqual">
      <formula>10000</formula>
    </cfRule>
    <cfRule type="cellIs" dxfId="1808" priority="1" operator="between">
      <formula>1</formula>
      <formula>9.999</formula>
    </cfRule>
  </conditionalFormatting>
  <conditionalFormatting sqref="F56:K56">
    <cfRule type="cellIs" dxfId="1807" priority="4" operator="greaterThanOrEqual">
      <formula>0.0001</formula>
    </cfRule>
    <cfRule type="containsBlanks" dxfId="1806" priority="3" stopIfTrue="1">
      <formula>LEN(TRIM(F56))=0</formula>
    </cfRule>
    <cfRule type="cellIs" dxfId="1805" priority="115" operator="lessThanOrEqual">
      <formula>0.1</formula>
    </cfRule>
  </conditionalFormatting>
  <conditionalFormatting sqref="G18:H19 G24:H25 G30:H31">
    <cfRule type="cellIs" dxfId="1804" priority="169" operator="between">
      <formula>1</formula>
      <formula>9.999</formula>
    </cfRule>
    <cfRule type="cellIs" dxfId="1803" priority="170" operator="between">
      <formula>0.1</formula>
      <formula>0.999</formula>
    </cfRule>
    <cfRule type="cellIs" dxfId="1802" priority="171" operator="lessThanOrEqual">
      <formula>0.1</formula>
    </cfRule>
    <cfRule type="containsBlanks" dxfId="1801" priority="172" stopIfTrue="1">
      <formula>LEN(TRIM(G18))=0</formula>
    </cfRule>
    <cfRule type="cellIs" dxfId="1800" priority="173" operator="lessThan">
      <formula>$F18</formula>
    </cfRule>
    <cfRule type="cellIs" dxfId="1799" priority="167" operator="greaterThanOrEqual">
      <formula>10000</formula>
    </cfRule>
    <cfRule type="cellIs" dxfId="1798" priority="168" operator="greaterThanOrEqual">
      <formula>10</formula>
    </cfRule>
  </conditionalFormatting>
  <conditionalFormatting sqref="G36:H37 R40:R41">
    <cfRule type="cellIs" dxfId="1797" priority="165" operator="greaterThan">
      <formula>0.0001</formula>
    </cfRule>
  </conditionalFormatting>
  <conditionalFormatting sqref="G36:H37">
    <cfRule type="cellIs" dxfId="1796" priority="162" operator="lessThanOrEqual">
      <formula>0.1</formula>
    </cfRule>
    <cfRule type="cellIs" dxfId="1795" priority="161" operator="between">
      <formula>0.1</formula>
      <formula>0.999</formula>
    </cfRule>
    <cfRule type="cellIs" dxfId="1794" priority="160" operator="between">
      <formula>1</formula>
      <formula>9.999</formula>
    </cfRule>
    <cfRule type="cellIs" dxfId="1793" priority="159" operator="greaterThanOrEqual">
      <formula>10</formula>
    </cfRule>
    <cfRule type="cellIs" dxfId="1792" priority="158" operator="greaterThanOrEqual">
      <formula>10000</formula>
    </cfRule>
    <cfRule type="cellIs" dxfId="1791" priority="164" operator="equal">
      <formula>0</formula>
    </cfRule>
    <cfRule type="containsBlanks" dxfId="1790" priority="163" stopIfTrue="1">
      <formula>LEN(TRIM(G36))=0</formula>
    </cfRule>
  </conditionalFormatting>
  <conditionalFormatting sqref="P10:T17">
    <cfRule type="cellIs" dxfId="1789" priority="104" operator="between">
      <formula>0.1</formula>
      <formula>0.999</formula>
    </cfRule>
    <cfRule type="cellIs" dxfId="1788" priority="111" operator="greaterThan">
      <formula>10</formula>
    </cfRule>
    <cfRule type="cellIs" dxfId="1787" priority="110" operator="between">
      <formula>1</formula>
      <formula>10</formula>
    </cfRule>
    <cfRule type="cellIs" dxfId="1786" priority="109" operator="between">
      <formula>0.1</formula>
      <formula>0.999</formula>
    </cfRule>
    <cfRule type="cellIs" dxfId="1785" priority="108" operator="lessThan">
      <formula>0.1</formula>
    </cfRule>
    <cfRule type="cellIs" dxfId="1784" priority="105" operator="lessThanOrEqual">
      <formula>0.1</formula>
    </cfRule>
    <cfRule type="cellIs" dxfId="1783" priority="103" operator="between">
      <formula>1</formula>
      <formula>9.999</formula>
    </cfRule>
    <cfRule type="cellIs" dxfId="1782" priority="102" operator="greaterThanOrEqual">
      <formula>10</formula>
    </cfRule>
    <cfRule type="containsBlanks" dxfId="1781" priority="106" stopIfTrue="1">
      <formula>LEN(TRIM(P10))=0</formula>
    </cfRule>
    <cfRule type="cellIs" dxfId="1780" priority="101" operator="greaterThanOrEqual">
      <formula>10000</formula>
    </cfRule>
    <cfRule type="cellIs" dxfId="1779" priority="112" operator="greaterThan">
      <formula>10000</formula>
    </cfRule>
    <cfRule type="cellIs" dxfId="1778" priority="107" operator="equal">
      <formula>0</formula>
    </cfRule>
  </conditionalFormatting>
  <conditionalFormatting sqref="Q47:T47">
    <cfRule type="cellIs" dxfId="1777" priority="81" operator="lessThan">
      <formula>$P$47</formula>
    </cfRule>
    <cfRule type="cellIs" dxfId="1776" priority="80" operator="greaterThanOrEqual">
      <formula>$P$47</formula>
    </cfRule>
  </conditionalFormatting>
  <conditionalFormatting sqref="Q47:T52">
    <cfRule type="cellIs" dxfId="1775" priority="21" operator="greaterThanOrEqual">
      <formula>10</formula>
    </cfRule>
    <cfRule type="cellIs" dxfId="1774" priority="22" operator="lessThanOrEqual">
      <formula>0.1</formula>
    </cfRule>
    <cfRule type="containsBlanks" dxfId="1773" priority="19" stopIfTrue="1">
      <formula>LEN(TRIM(Q47))=0</formula>
    </cfRule>
    <cfRule type="cellIs" dxfId="1772" priority="17" operator="between">
      <formula>1</formula>
      <formula>9.999</formula>
    </cfRule>
    <cfRule type="cellIs" dxfId="1771" priority="18" operator="between">
      <formula>0.1</formula>
      <formula>0.999</formula>
    </cfRule>
    <cfRule type="cellIs" dxfId="1770" priority="20" operator="greaterThanOrEqual">
      <formula>10000</formula>
    </cfRule>
  </conditionalFormatting>
  <conditionalFormatting sqref="Q48:T48">
    <cfRule type="cellIs" dxfId="1769" priority="55" operator="greaterThanOrEqual">
      <formula>$P$48</formula>
    </cfRule>
    <cfRule type="cellIs" dxfId="1768" priority="56" operator="lessThan">
      <formula>$P$48</formula>
    </cfRule>
  </conditionalFormatting>
  <conditionalFormatting sqref="Q49:T49">
    <cfRule type="cellIs" dxfId="1767" priority="47" operator="greaterThanOrEqual">
      <formula>$P$49</formula>
    </cfRule>
    <cfRule type="cellIs" dxfId="1766" priority="48" operator="lessThan">
      <formula>$P$49</formula>
    </cfRule>
  </conditionalFormatting>
  <conditionalFormatting sqref="Q50:T50">
    <cfRule type="cellIs" dxfId="1765" priority="40" operator="lessThan">
      <formula>$P$48</formula>
    </cfRule>
    <cfRule type="cellIs" dxfId="1764" priority="39" operator="greaterThanOrEqual">
      <formula>$P$48</formula>
    </cfRule>
  </conditionalFormatting>
  <conditionalFormatting sqref="Q51:T52">
    <cfRule type="cellIs" dxfId="1763" priority="24" operator="lessThan">
      <formula>$P$51</formula>
    </cfRule>
    <cfRule type="cellIs" dxfId="1762" priority="23" operator="greaterThanOrEqual">
      <formula>$P$51</formula>
    </cfRule>
  </conditionalFormatting>
  <conditionalFormatting sqref="Q55:T56">
    <cfRule type="cellIs" dxfId="1761" priority="9" operator="greaterThan">
      <formula>100</formula>
    </cfRule>
    <cfRule type="cellIs" dxfId="1760" priority="14" operator="greaterThanOrEqual">
      <formula>0.0001</formula>
    </cfRule>
    <cfRule type="containsBlanks" dxfId="1759" priority="13" stopIfTrue="1">
      <formula>LEN(TRIM(Q55))=0</formula>
    </cfRule>
    <cfRule type="cellIs" dxfId="1758" priority="11" operator="lessThanOrEqual">
      <formula>0.1</formula>
    </cfRule>
    <cfRule type="cellIs" dxfId="1757" priority="10" operator="between">
      <formula>1</formula>
      <formula>100</formula>
    </cfRule>
  </conditionalFormatting>
  <conditionalFormatting sqref="R22:R23 R28:R29 R34:R35">
    <cfRule type="cellIs" dxfId="1756" priority="153" operator="between">
      <formula>1</formula>
      <formula>9.999</formula>
    </cfRule>
    <cfRule type="cellIs" dxfId="1755" priority="154" operator="between">
      <formula>0.1</formula>
      <formula>0.999</formula>
    </cfRule>
    <cfRule type="cellIs" dxfId="1754" priority="155" operator="lessThanOrEqual">
      <formula>0.1</formula>
    </cfRule>
    <cfRule type="containsBlanks" dxfId="1753" priority="156" stopIfTrue="1">
      <formula>LEN(TRIM(R22))=0</formula>
    </cfRule>
    <cfRule type="cellIs" dxfId="1752" priority="157" operator="lessThan">
      <formula>$Q22</formula>
    </cfRule>
    <cfRule type="cellIs" dxfId="1751" priority="151" operator="greaterThanOrEqual">
      <formula>10000</formula>
    </cfRule>
    <cfRule type="cellIs" dxfId="1750" priority="152" operator="greaterThanOrEqual">
      <formula>10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778B73-7BDB-41AB-94F7-226C70FD4F05}">
          <x14:formula1>
            <xm:f>'List Values'!$B$4:$B$5</xm:f>
          </x14:formula1>
          <xm:sqref>C42:C43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81965-EE77-4672-9C12-119388EE76A6}">
  <sheetPr codeName="Sheet3"/>
  <dimension ref="B1:V69"/>
  <sheetViews>
    <sheetView zoomScale="70" zoomScaleNormal="70" workbookViewId="0">
      <selection activeCell="P10" sqref="P10"/>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8" width="15.85546875" style="66" customWidth="1"/>
    <col min="9" max="12" width="12.85546875" style="66" customWidth="1"/>
    <col min="13" max="13" width="12.42578125" style="66" customWidth="1"/>
    <col min="14" max="14" width="28.42578125" style="66" customWidth="1"/>
    <col min="15" max="18" width="14.85546875" style="66" customWidth="1"/>
    <col min="19" max="20" width="13.5703125" style="66" customWidth="1"/>
    <col min="21" max="16384" width="8.7109375" style="66"/>
  </cols>
  <sheetData>
    <row r="1" spans="2:22" ht="21" x14ac:dyDescent="0.35">
      <c r="C1" s="83"/>
    </row>
    <row r="2" spans="2:22" ht="21" x14ac:dyDescent="0.35">
      <c r="C2" s="83" t="s">
        <v>0</v>
      </c>
      <c r="M2" s="68"/>
      <c r="T2" s="67"/>
    </row>
    <row r="3" spans="2:22" ht="15.75" x14ac:dyDescent="0.25">
      <c r="C3" s="67"/>
      <c r="M3" s="68"/>
      <c r="T3" s="67"/>
    </row>
    <row r="4" spans="2:22" ht="21" x14ac:dyDescent="0.35">
      <c r="C4" s="84" t="s">
        <v>83</v>
      </c>
      <c r="D4" s="85"/>
      <c r="E4" s="85"/>
      <c r="F4" s="85"/>
      <c r="G4" s="85"/>
      <c r="H4" s="85"/>
      <c r="I4" s="85"/>
      <c r="J4" s="85"/>
      <c r="K4" s="85"/>
      <c r="L4" s="85"/>
      <c r="N4" s="84" t="s">
        <v>29</v>
      </c>
      <c r="T4" s="67"/>
    </row>
    <row r="5" spans="2:22" ht="21" x14ac:dyDescent="0.35">
      <c r="C5" s="85"/>
      <c r="D5" s="85"/>
      <c r="E5" s="85"/>
      <c r="F5" s="85"/>
      <c r="G5" s="85"/>
      <c r="H5" s="85"/>
      <c r="I5" s="85"/>
      <c r="J5" s="85"/>
      <c r="K5" s="85"/>
      <c r="L5" s="85"/>
      <c r="N5" s="83"/>
      <c r="T5" s="67"/>
    </row>
    <row r="6" spans="2:22" ht="21" x14ac:dyDescent="0.35">
      <c r="C6" s="83" t="s">
        <v>84</v>
      </c>
      <c r="D6" s="85"/>
      <c r="E6" s="85"/>
      <c r="F6" s="85"/>
      <c r="G6" s="85"/>
      <c r="H6" s="85"/>
      <c r="I6" s="85"/>
      <c r="J6" s="85"/>
      <c r="K6" s="85"/>
      <c r="L6" s="85"/>
      <c r="N6" s="83" t="s">
        <v>84</v>
      </c>
      <c r="T6" s="67"/>
    </row>
    <row r="7" spans="2:22" ht="15.75" x14ac:dyDescent="0.25">
      <c r="C7" s="67"/>
      <c r="M7" s="68"/>
      <c r="T7" s="67"/>
    </row>
    <row r="8" spans="2:22" ht="38.25" x14ac:dyDescent="0.25">
      <c r="C8" s="592" t="s">
        <v>85</v>
      </c>
      <c r="D8" s="593" t="s">
        <v>23</v>
      </c>
      <c r="E8" s="411" t="s">
        <v>86</v>
      </c>
      <c r="F8" s="411" t="s">
        <v>87</v>
      </c>
      <c r="G8" s="411" t="s">
        <v>88</v>
      </c>
      <c r="H8" s="411" t="s">
        <v>89</v>
      </c>
      <c r="I8" s="411" t="s">
        <v>90</v>
      </c>
      <c r="J8" s="328"/>
      <c r="K8" s="328"/>
      <c r="L8" s="328"/>
      <c r="M8" s="1"/>
      <c r="N8" s="592" t="s">
        <v>85</v>
      </c>
      <c r="O8" s="592" t="s">
        <v>23</v>
      </c>
      <c r="P8" s="411" t="s">
        <v>91</v>
      </c>
      <c r="Q8" s="411" t="s">
        <v>92</v>
      </c>
      <c r="R8" s="411" t="s">
        <v>93</v>
      </c>
      <c r="S8" s="411" t="s">
        <v>94</v>
      </c>
      <c r="T8" s="411" t="s">
        <v>95</v>
      </c>
      <c r="V8" s="67"/>
    </row>
    <row r="9" spans="2:22" ht="27" x14ac:dyDescent="0.25">
      <c r="C9" s="592"/>
      <c r="D9" s="593"/>
      <c r="E9" s="411" t="s">
        <v>96</v>
      </c>
      <c r="F9" s="411" t="s">
        <v>97</v>
      </c>
      <c r="G9" s="411" t="s">
        <v>98</v>
      </c>
      <c r="H9" s="411" t="s">
        <v>98</v>
      </c>
      <c r="I9" s="411" t="s">
        <v>99</v>
      </c>
      <c r="J9" s="328"/>
      <c r="K9" s="328"/>
      <c r="L9" s="328"/>
      <c r="M9" s="1"/>
      <c r="N9" s="592"/>
      <c r="O9" s="592"/>
      <c r="P9" s="411" t="s">
        <v>100</v>
      </c>
      <c r="Q9" s="411" t="s">
        <v>101</v>
      </c>
      <c r="R9" s="411" t="s">
        <v>501</v>
      </c>
      <c r="S9" s="411" t="s">
        <v>102</v>
      </c>
      <c r="T9" s="411" t="s">
        <v>502</v>
      </c>
      <c r="V9" s="67"/>
    </row>
    <row r="10" spans="2:22" ht="15.75" x14ac:dyDescent="0.25">
      <c r="C10" s="88" t="s">
        <v>30</v>
      </c>
      <c r="D10" s="594" t="s">
        <v>103</v>
      </c>
      <c r="E10" s="316">
        <f>INDEX('Inhalation Exposures'!$I$37:$I$44, MATCH('1,2-DCA_max'!$C$2, 'Inhalation Exposures'!$A$37:$A$44, 0))</f>
        <v>7.3</v>
      </c>
      <c r="F10" s="316">
        <f>INDEX('Inhalation Exposures'!$K$37:$K$44, MATCH('1,2-DCA_max'!$C$2, 'Inhalation Exposures'!$A$37:$A$44, 0))</f>
        <v>4.9659863945578229</v>
      </c>
      <c r="G10" s="316">
        <f>INDEX('Inhalation Exposures'!$M$37:$M$44, MATCH('1,2-DCA_max'!$C$2, 'Inhalation Exposures'!$A$37:$A$44, 0))</f>
        <v>3.64172335600907</v>
      </c>
      <c r="H10" s="316">
        <f>INDEX('Inhalation Exposures'!$O$37:$O$44, MATCH('1,2-DCA_max'!$C$2, 'Inhalation Exposures'!$A$37:$A$44, 0))</f>
        <v>3.4013605442176873</v>
      </c>
      <c r="I10" s="316">
        <f>INDEX('Inhalation Exposures'!$Q$37:$Q$44, MATCH('1,2-DCA_max'!$C$2, 'Inhalation Exposures'!$A$37:$A$44, 0))</f>
        <v>1.7442874585731729</v>
      </c>
      <c r="J10" s="327"/>
      <c r="K10" s="327"/>
      <c r="L10" s="327"/>
      <c r="M10" s="1"/>
      <c r="N10" s="595" t="s">
        <v>104</v>
      </c>
      <c r="O10" s="412" t="s">
        <v>103</v>
      </c>
      <c r="P10" s="316">
        <f>IFERROR(INDEX('Dermal Exposures'!$J$19:$J$27, MATCH('1,2-DCA_max'!$C$2, 'Dermal Exposures'!$A$19:$A$27, 0)), "")</f>
        <v>6.7410000000000005</v>
      </c>
      <c r="Q10" s="316">
        <f>IFERROR(INDEX('Dermal Exposures'!$K$19:$K$27, MATCH('1,2-DCA_max'!$C$2, 'Dermal Exposures'!$A$19:$A$27, 0)), "")</f>
        <v>8.4262500000000004E-2</v>
      </c>
      <c r="R10" s="316">
        <f>IFERROR(INDEX('Dermal Exposures'!$L$19:$L$27, MATCH('1,2-DCA_max'!$C$2, 'Dermal Exposures'!$A$19:$A$27, 0)), "")</f>
        <v>6.1792500000000007E-2</v>
      </c>
      <c r="S10" s="316">
        <f>IFERROR(INDEX('Dermal Exposures'!$M$19:$M$27, MATCH('1,2-DCA_max'!$C$2, 'Dermal Exposures'!$A$19:$A$27, 0)), "")</f>
        <v>5.7714041095890414E-2</v>
      </c>
      <c r="T10" s="316">
        <f>IFERROR(INDEX('Dermal Exposures'!$N$19:$N$27, MATCH('1,2-DCA_max'!$C$2, 'Dermal Exposures'!$A$19:$A$27, 0)), "")</f>
        <v>2.9596944151738674E-2</v>
      </c>
      <c r="V10" s="67"/>
    </row>
    <row r="11" spans="2:22" ht="15.75" x14ac:dyDescent="0.25">
      <c r="C11" s="88" t="s">
        <v>28</v>
      </c>
      <c r="D11" s="594"/>
      <c r="E11" s="316">
        <f>INDEX('Inhalation Exposures'!$I$50:$I$58, MATCH('1,2-DCA_max'!$C$2, 'Inhalation Exposures'!$A$50:$A$58, 0))</f>
        <v>1.6</v>
      </c>
      <c r="F11" s="316">
        <f>INDEX('Inhalation Exposures'!$K$50:$K$58, MATCH('1,2-DCA_max'!$C$2, 'Inhalation Exposures'!$A$50:$A$58, 0))</f>
        <v>1.08843537414966</v>
      </c>
      <c r="G11" s="316">
        <f>INDEX('Inhalation Exposures'!$M$50:$M$58, MATCH('1,2-DCA_max'!$C$2, 'Inhalation Exposures'!$A$50:$A$58, 0))</f>
        <v>0.79818594104308394</v>
      </c>
      <c r="H11" s="316">
        <f>INDEX('Inhalation Exposures'!$O$50:$O$58, MATCH('1,2-DCA_max'!$C$2, 'Inhalation Exposures'!$A$50:$A$58, 0))</f>
        <v>0.74550368092442454</v>
      </c>
      <c r="I11" s="316">
        <f>INDEX('Inhalation Exposures'!$Q$50:$Q$58, MATCH('1,2-DCA_max'!$C$2, 'Inhalation Exposures'!$A$50:$A$58, 0))</f>
        <v>0.38230957996124337</v>
      </c>
      <c r="J11" s="89"/>
      <c r="K11" s="89"/>
      <c r="L11" s="89"/>
      <c r="M11" s="1"/>
      <c r="N11" s="595"/>
      <c r="O11" s="412" t="s">
        <v>27</v>
      </c>
      <c r="P11" s="316">
        <f>IFERROR(INDEX('Dermal Exposures'!$O$19:$O$27, MATCH('1,2-DCA_max'!$C$2, 'Dermal Exposures'!$A$19:$A$27, 0)), "")</f>
        <v>2.2469999999999999</v>
      </c>
      <c r="Q11" s="316">
        <f>IFERROR(INDEX('Dermal Exposures'!$P$19:$P$27, MATCH('1,2-DCA_max'!$C$2, 'Dermal Exposures'!$A$19:$A$27, 0)), "")</f>
        <v>2.8087499999999998E-2</v>
      </c>
      <c r="R11" s="316">
        <f>IFERROR(INDEX('Dermal Exposures'!$Q$19:$Q$27, MATCH('1,2-DCA_max'!$C$2, 'Dermal Exposures'!$A$19:$A$27, 0)), "")</f>
        <v>2.0597499999999998E-2</v>
      </c>
      <c r="S11" s="316">
        <f>IFERROR(INDEX('Dermal Exposures'!$R$19:$R$27, MATCH('1,2-DCA_max'!$C$2, 'Dermal Exposures'!$A$19:$A$27, 0)), "")</f>
        <v>1.9238013698630138E-2</v>
      </c>
      <c r="T11" s="316">
        <f>IFERROR(INDEX('Dermal Exposures'!$S$19:$S$27, MATCH('1,2-DCA_max'!$C$2, 'Dermal Exposures'!$A$19:$A$27, 0)), "")</f>
        <v>7.6458772391991567E-3</v>
      </c>
      <c r="V11" s="67"/>
    </row>
    <row r="12" spans="2:22" ht="15.75" x14ac:dyDescent="0.25">
      <c r="C12" s="88" t="s">
        <v>30</v>
      </c>
      <c r="D12" s="591" t="s">
        <v>27</v>
      </c>
      <c r="E12" s="316">
        <f>INDEX('Inhalation Exposures'!$J$37:$J$44, MATCH('1,2-DCA_max'!$C$2, 'Inhalation Exposures'!$A$37:$A$44, 0))</f>
        <v>0.48</v>
      </c>
      <c r="F12" s="316">
        <f>INDEX('Inhalation Exposures'!$L$37:$L$44, MATCH('1,2-DCA_max'!$C$2, 'Inhalation Exposures'!$A$37:$A$44, 0))</f>
        <v>0.32653061224489799</v>
      </c>
      <c r="G12" s="316">
        <f>INDEX('Inhalation Exposures'!$N$37:$N$44, MATCH('1,2-DCA_max'!$C$2, 'Inhalation Exposures'!$A$37:$A$44, 0))</f>
        <v>0.23945578231292514</v>
      </c>
      <c r="H12" s="316">
        <f>INDEX('Inhalation Exposures'!$P$37:$P$44, MATCH('1,2-DCA_max'!$C$2, 'Inhalation Exposures'!$A$37:$A$44, 0))</f>
        <v>0.22365110427732737</v>
      </c>
      <c r="I12" s="316">
        <f>INDEX('Inhalation Exposures'!$R$37:$R$44, MATCH('1,2-DCA_max'!$C$2, 'Inhalation Exposures'!$A$37:$A$44, 0))</f>
        <v>8.888697734098909E-2</v>
      </c>
      <c r="J12" s="89"/>
      <c r="K12" s="89"/>
      <c r="L12" s="89"/>
      <c r="M12" s="1"/>
      <c r="N12" s="565" t="str">
        <f>_xlfn.CONCAT("Worker with Gloves; 
PF of ",'List Values'!$B$16)</f>
        <v>Worker with Gloves; 
PF of 5</v>
      </c>
      <c r="O12" s="412" t="s">
        <v>103</v>
      </c>
      <c r="P12" s="316">
        <f>P10/'List Values'!$B$16</f>
        <v>1.3482000000000001</v>
      </c>
      <c r="Q12" s="316">
        <f>Q10/'List Values'!$B$16</f>
        <v>1.6852499999999999E-2</v>
      </c>
      <c r="R12" s="316">
        <f>R10/'List Values'!$B$16</f>
        <v>1.2358500000000001E-2</v>
      </c>
      <c r="S12" s="316">
        <f>S10/'List Values'!$B$16</f>
        <v>1.1542808219178084E-2</v>
      </c>
      <c r="T12" s="316">
        <f>T10/'List Values'!$B$16</f>
        <v>5.9193888303477344E-3</v>
      </c>
      <c r="U12" s="67"/>
    </row>
    <row r="13" spans="2:22" ht="15.75" x14ac:dyDescent="0.25">
      <c r="C13" s="88" t="s">
        <v>28</v>
      </c>
      <c r="D13" s="591"/>
      <c r="E13" s="316">
        <f>INDEX('Inhalation Exposures'!$J$50:$J$58, MATCH('1,2-DCA_max'!$C$2, 'Inhalation Exposures'!$A$50:$A$58, 0))</f>
        <v>1.4E-2</v>
      </c>
      <c r="F13" s="316">
        <f>INDEX('Inhalation Exposures'!$L$50:$L$58, MATCH('1,2-DCA_max'!$C$2, 'Inhalation Exposures'!$A$50:$A$58, 0))</f>
        <v>9.5238095238095247E-3</v>
      </c>
      <c r="G13" s="316">
        <f>INDEX('Inhalation Exposures'!$N$50:$N$58, MATCH('1,2-DCA_max'!$C$2, 'Inhalation Exposures'!$A$50:$A$58, 0))</f>
        <v>6.9841269841269841E-3</v>
      </c>
      <c r="H13" s="316">
        <f>INDEX('Inhalation Exposures'!$P$50:$P$58, MATCH('1,2-DCA_max'!$C$2, 'Inhalation Exposures'!$A$50:$A$58, 0))</f>
        <v>6.5231572080887154E-3</v>
      </c>
      <c r="I13" s="316">
        <f>INDEX('Inhalation Exposures'!$R$50:$R$58, MATCH('1,2-DCA_max'!$C$2, 'Inhalation Exposures'!$A$50:$A$58, 0))</f>
        <v>2.5925368391121815E-3</v>
      </c>
      <c r="J13" s="89"/>
      <c r="K13" s="89"/>
      <c r="L13" s="89"/>
      <c r="M13" s="1"/>
      <c r="N13" s="565"/>
      <c r="O13" s="412" t="s">
        <v>27</v>
      </c>
      <c r="P13" s="316">
        <f>P11/'List Values'!$B$16</f>
        <v>0.44939999999999997</v>
      </c>
      <c r="Q13" s="316">
        <f>Q11/'List Values'!$B$16</f>
        <v>5.6174999999999992E-3</v>
      </c>
      <c r="R13" s="316">
        <f>R11/'List Values'!$B$16</f>
        <v>4.1194999999999999E-3</v>
      </c>
      <c r="S13" s="316">
        <f>S11/'List Values'!$B$16</f>
        <v>3.8476027397260277E-3</v>
      </c>
      <c r="T13" s="316">
        <f>T11/'List Values'!$B$16</f>
        <v>1.5291754478398314E-3</v>
      </c>
      <c r="U13" s="67"/>
    </row>
    <row r="14" spans="2:22" x14ac:dyDescent="0.2">
      <c r="N14" s="565" t="str">
        <f>_xlfn.CONCAT("Worker with Gloves; 
PF of ",'List Values'!$B$17)</f>
        <v>Worker with Gloves; 
PF of 10</v>
      </c>
      <c r="O14" s="412" t="s">
        <v>103</v>
      </c>
      <c r="P14" s="316">
        <f>P10/'List Values'!$B$17</f>
        <v>0.67410000000000003</v>
      </c>
      <c r="Q14" s="316">
        <f>Q10/'List Values'!$B$17</f>
        <v>8.4262499999999997E-3</v>
      </c>
      <c r="R14" s="316">
        <f>R10/'List Values'!$B$17</f>
        <v>6.1792500000000007E-3</v>
      </c>
      <c r="S14" s="316">
        <f>S10/'List Values'!$B$17</f>
        <v>5.7714041095890418E-3</v>
      </c>
      <c r="T14" s="316">
        <f>T10/'List Values'!$B$17</f>
        <v>2.9596944151738672E-3</v>
      </c>
    </row>
    <row r="15" spans="2:22" ht="21" x14ac:dyDescent="0.35">
      <c r="C15" s="83" t="s">
        <v>105</v>
      </c>
      <c r="N15" s="565"/>
      <c r="O15" s="412" t="s">
        <v>27</v>
      </c>
      <c r="P15" s="316">
        <f>P11/'List Values'!$B$17</f>
        <v>0.22469999999999998</v>
      </c>
      <c r="Q15" s="316">
        <f>Q11/'List Values'!$B$17</f>
        <v>2.8087499999999996E-3</v>
      </c>
      <c r="R15" s="316">
        <f>R11/'List Values'!$B$17</f>
        <v>2.0597499999999999E-3</v>
      </c>
      <c r="S15" s="316">
        <f>S11/'List Values'!$B$17</f>
        <v>1.9238013698630139E-3</v>
      </c>
      <c r="T15" s="316">
        <f>T11/'List Values'!$B$17</f>
        <v>7.6458772391991572E-4</v>
      </c>
    </row>
    <row r="16" spans="2:22" ht="28.5" customHeight="1" x14ac:dyDescent="0.2">
      <c r="B16" s="70"/>
      <c r="C16" s="568" t="s">
        <v>106</v>
      </c>
      <c r="D16" s="568" t="s">
        <v>107</v>
      </c>
      <c r="E16" s="568" t="s">
        <v>23</v>
      </c>
      <c r="F16" s="568" t="s">
        <v>108</v>
      </c>
      <c r="G16" s="568" t="s">
        <v>109</v>
      </c>
      <c r="H16" s="568"/>
      <c r="I16" s="90"/>
      <c r="J16" s="90"/>
      <c r="K16" s="90"/>
      <c r="L16" s="90"/>
      <c r="N16" s="565" t="str">
        <f>_xlfn.CONCAT("Worker with Gloves; 
PF of ",'List Values'!$B$18)</f>
        <v>Worker with Gloves; 
PF of 20</v>
      </c>
      <c r="O16" s="412" t="s">
        <v>103</v>
      </c>
      <c r="P16" s="316">
        <f>P10/'List Values'!$B$18</f>
        <v>0.33705000000000002</v>
      </c>
      <c r="Q16" s="316">
        <f>Q10/'List Values'!$B$18</f>
        <v>4.2131249999999999E-3</v>
      </c>
      <c r="R16" s="316">
        <f>R10/'List Values'!$B$18</f>
        <v>3.0896250000000004E-3</v>
      </c>
      <c r="S16" s="316">
        <f>S10/'List Values'!$B$18</f>
        <v>2.8857020547945209E-3</v>
      </c>
      <c r="T16" s="316">
        <f>T10/'List Values'!$B$18</f>
        <v>1.4798472075869336E-3</v>
      </c>
    </row>
    <row r="17" spans="2:20" ht="26.1" customHeight="1" x14ac:dyDescent="0.2">
      <c r="B17" s="70"/>
      <c r="C17" s="568"/>
      <c r="D17" s="568"/>
      <c r="E17" s="568"/>
      <c r="F17" s="568"/>
      <c r="G17" s="413" t="s">
        <v>110</v>
      </c>
      <c r="H17" s="413" t="s">
        <v>111</v>
      </c>
      <c r="I17" s="90"/>
      <c r="J17" s="90"/>
      <c r="K17" s="90"/>
      <c r="L17" s="90"/>
      <c r="N17" s="565"/>
      <c r="O17" s="412" t="s">
        <v>27</v>
      </c>
      <c r="P17" s="316">
        <f>P11/'List Values'!$B$18</f>
        <v>0.11234999999999999</v>
      </c>
      <c r="Q17" s="316">
        <f>Q11/'List Values'!$B$18</f>
        <v>1.4043749999999998E-3</v>
      </c>
      <c r="R17" s="316">
        <f>R11/'List Values'!$B$18</f>
        <v>1.029875E-3</v>
      </c>
      <c r="S17" s="316">
        <f>S11/'List Values'!$B$18</f>
        <v>9.6190068493150693E-4</v>
      </c>
      <c r="T17" s="316">
        <f>T11/'List Values'!$B$18</f>
        <v>3.8229386195995786E-4</v>
      </c>
    </row>
    <row r="18" spans="2:20" ht="27.6" customHeight="1" x14ac:dyDescent="0.2">
      <c r="B18" s="70"/>
      <c r="C18" s="587" t="s">
        <v>112</v>
      </c>
      <c r="D18" s="580">
        <f>INDEX('Health Data'!$G:$G,MATCH($C$2,'Health Data'!$B:$B,0))</f>
        <v>2.4163399353274051</v>
      </c>
      <c r="E18" s="71" t="s">
        <v>103</v>
      </c>
      <c r="F18" s="412">
        <v>30</v>
      </c>
      <c r="G18" s="101">
        <f>D18/$F$10</f>
        <v>0.48657804177140901</v>
      </c>
      <c r="H18" s="102">
        <f>D18/$F$11</f>
        <v>2.220012315582053</v>
      </c>
      <c r="I18" s="77"/>
      <c r="J18" s="77"/>
      <c r="K18" s="77"/>
      <c r="L18" s="77"/>
    </row>
    <row r="19" spans="2:20" ht="25.5" customHeight="1" x14ac:dyDescent="0.35">
      <c r="B19" s="70"/>
      <c r="C19" s="588"/>
      <c r="D19" s="555"/>
      <c r="E19" s="71" t="s">
        <v>27</v>
      </c>
      <c r="F19" s="412">
        <v>30</v>
      </c>
      <c r="G19" s="101">
        <f>D18/$F$12</f>
        <v>7.4000410519401774</v>
      </c>
      <c r="H19" s="102">
        <f>D18/$F$13</f>
        <v>253.71569320937752</v>
      </c>
      <c r="I19" s="77"/>
      <c r="J19" s="77"/>
      <c r="K19" s="77"/>
      <c r="L19" s="77"/>
      <c r="N19" s="83" t="s">
        <v>113</v>
      </c>
    </row>
    <row r="20" spans="2:20" ht="25.5" x14ac:dyDescent="0.2">
      <c r="B20" s="73"/>
      <c r="C20" s="74"/>
      <c r="D20" s="96"/>
      <c r="E20" s="76"/>
      <c r="F20" s="75"/>
      <c r="G20" s="77"/>
      <c r="H20" s="77"/>
      <c r="I20" s="77"/>
      <c r="J20" s="77"/>
      <c r="K20" s="77"/>
      <c r="L20" s="77"/>
      <c r="N20" s="570" t="s">
        <v>106</v>
      </c>
      <c r="O20" s="570" t="s">
        <v>114</v>
      </c>
      <c r="P20" s="570" t="s">
        <v>23</v>
      </c>
      <c r="Q20" s="570" t="s">
        <v>108</v>
      </c>
      <c r="R20" s="411" t="s">
        <v>109</v>
      </c>
    </row>
    <row r="21" spans="2:20" ht="25.5" customHeight="1" x14ac:dyDescent="0.2">
      <c r="B21" s="73"/>
      <c r="C21" s="98" t="s">
        <v>115</v>
      </c>
      <c r="D21" s="96"/>
      <c r="E21" s="76"/>
      <c r="F21" s="75"/>
      <c r="G21" s="77"/>
      <c r="H21" s="77"/>
      <c r="I21" s="77"/>
      <c r="J21" s="77"/>
      <c r="K21" s="77"/>
      <c r="L21" s="77"/>
      <c r="N21" s="571"/>
      <c r="O21" s="571"/>
      <c r="P21" s="571"/>
      <c r="Q21" s="571"/>
      <c r="R21" s="422" t="s">
        <v>116</v>
      </c>
    </row>
    <row r="22" spans="2:20" ht="25.5" customHeight="1" x14ac:dyDescent="0.2">
      <c r="B22" s="73"/>
      <c r="C22" s="568" t="s">
        <v>106</v>
      </c>
      <c r="D22" s="568" t="s">
        <v>107</v>
      </c>
      <c r="E22" s="569" t="s">
        <v>23</v>
      </c>
      <c r="F22" s="568" t="s">
        <v>108</v>
      </c>
      <c r="G22" s="568" t="s">
        <v>117</v>
      </c>
      <c r="H22" s="568"/>
      <c r="I22" s="77"/>
      <c r="J22" s="77"/>
      <c r="K22" s="77"/>
      <c r="L22" s="77"/>
      <c r="N22" s="587" t="s">
        <v>118</v>
      </c>
      <c r="O22" s="589">
        <f>INDEX('Health Data'!$K:$K,MATCH($C$2,'Health Data'!$B:$B,0))</f>
        <v>19.899999999999999</v>
      </c>
      <c r="P22" s="72" t="s">
        <v>103</v>
      </c>
      <c r="Q22" s="412">
        <v>30</v>
      </c>
      <c r="R22" s="101">
        <f>IFERROR(O22/Q10, "")</f>
        <v>236.16674083963801</v>
      </c>
    </row>
    <row r="23" spans="2:20" ht="25.5" customHeight="1" x14ac:dyDescent="0.2">
      <c r="B23" s="73"/>
      <c r="C23" s="582"/>
      <c r="D23" s="582"/>
      <c r="E23" s="586"/>
      <c r="F23" s="582"/>
      <c r="G23" s="415" t="s">
        <v>110</v>
      </c>
      <c r="H23" s="415" t="s">
        <v>111</v>
      </c>
      <c r="I23" s="77"/>
      <c r="J23" s="77"/>
      <c r="K23" s="77"/>
      <c r="L23" s="77"/>
      <c r="N23" s="588"/>
      <c r="O23" s="590"/>
      <c r="P23" s="72" t="s">
        <v>27</v>
      </c>
      <c r="Q23" s="412">
        <v>30</v>
      </c>
      <c r="R23" s="101">
        <f>IFERROR(O22/Q11, "")</f>
        <v>708.50022251891414</v>
      </c>
    </row>
    <row r="24" spans="2:20" ht="25.5" customHeight="1" x14ac:dyDescent="0.2">
      <c r="B24" s="73"/>
      <c r="C24" s="577" t="s">
        <v>149</v>
      </c>
      <c r="D24" s="578">
        <v>22</v>
      </c>
      <c r="E24" s="71" t="s">
        <v>103</v>
      </c>
      <c r="F24" s="412">
        <v>30</v>
      </c>
      <c r="G24" s="419">
        <f>D24/$G$10</f>
        <v>6.0410958904109595</v>
      </c>
      <c r="H24" s="419">
        <f>D24/$G$11</f>
        <v>27.5625</v>
      </c>
      <c r="I24" s="77"/>
      <c r="J24" s="77"/>
      <c r="K24" s="77"/>
      <c r="L24" s="77"/>
      <c r="N24" s="74"/>
      <c r="O24" s="75"/>
      <c r="P24" s="81"/>
      <c r="Q24" s="75"/>
      <c r="R24" s="77"/>
    </row>
    <row r="25" spans="2:20" ht="25.5" customHeight="1" thickBot="1" x14ac:dyDescent="0.25">
      <c r="B25" s="73"/>
      <c r="C25" s="577"/>
      <c r="D25" s="559"/>
      <c r="E25" s="71" t="s">
        <v>27</v>
      </c>
      <c r="F25" s="412">
        <v>30</v>
      </c>
      <c r="G25" s="419">
        <f>D24/$G$12</f>
        <v>91.875000000000014</v>
      </c>
      <c r="H25" s="419">
        <f>D24/$G$13</f>
        <v>3150</v>
      </c>
      <c r="I25" s="77"/>
      <c r="J25" s="77"/>
      <c r="K25" s="77"/>
      <c r="L25" s="77"/>
      <c r="N25" s="97" t="s">
        <v>120</v>
      </c>
      <c r="O25" s="75"/>
      <c r="P25" s="81"/>
      <c r="Q25" s="75"/>
      <c r="R25" s="77"/>
    </row>
    <row r="26" spans="2:20" ht="38.25" x14ac:dyDescent="0.2">
      <c r="B26" s="73"/>
      <c r="C26" s="74"/>
      <c r="D26" s="96"/>
      <c r="E26" s="76"/>
      <c r="F26" s="75"/>
      <c r="G26" s="77"/>
      <c r="H26" s="77"/>
      <c r="I26" s="77"/>
      <c r="J26" s="77"/>
      <c r="K26" s="77"/>
      <c r="L26" s="77"/>
      <c r="N26" s="568" t="s">
        <v>106</v>
      </c>
      <c r="O26" s="568" t="s">
        <v>121</v>
      </c>
      <c r="P26" s="569" t="s">
        <v>23</v>
      </c>
      <c r="Q26" s="568" t="s">
        <v>108</v>
      </c>
      <c r="R26" s="413" t="s">
        <v>117</v>
      </c>
    </row>
    <row r="27" spans="2:20" s="85" customFormat="1" ht="25.5" x14ac:dyDescent="0.35">
      <c r="B27" s="83"/>
      <c r="C27" s="83" t="s">
        <v>122</v>
      </c>
      <c r="F27" s="86"/>
      <c r="N27" s="568"/>
      <c r="O27" s="568"/>
      <c r="P27" s="569"/>
      <c r="Q27" s="568"/>
      <c r="R27" s="413" t="s">
        <v>116</v>
      </c>
      <c r="S27" s="66"/>
      <c r="T27" s="66"/>
    </row>
    <row r="28" spans="2:20" ht="26.1" customHeight="1" x14ac:dyDescent="0.2">
      <c r="B28" s="79"/>
      <c r="C28" s="568" t="s">
        <v>106</v>
      </c>
      <c r="D28" s="568" t="s">
        <v>107</v>
      </c>
      <c r="E28" s="568" t="s">
        <v>23</v>
      </c>
      <c r="F28" s="568" t="s">
        <v>108</v>
      </c>
      <c r="G28" s="568" t="s">
        <v>123</v>
      </c>
      <c r="H28" s="568"/>
      <c r="I28" s="90"/>
      <c r="J28" s="90"/>
      <c r="K28" s="90"/>
      <c r="L28" s="90"/>
      <c r="N28" s="579" t="s">
        <v>124</v>
      </c>
      <c r="O28" s="580">
        <f>INDEX('Health Data'!$T:$T,MATCH($C$2,'Health Data'!$B:$B,0))</f>
        <v>6.5</v>
      </c>
      <c r="P28" s="72" t="s">
        <v>103</v>
      </c>
      <c r="Q28" s="412">
        <v>30</v>
      </c>
      <c r="R28" s="107">
        <f>IFERROR(O28/$R$10, "")</f>
        <v>105.19075939636686</v>
      </c>
    </row>
    <row r="29" spans="2:20" x14ac:dyDescent="0.2">
      <c r="B29" s="79"/>
      <c r="C29" s="568"/>
      <c r="D29" s="568"/>
      <c r="E29" s="568"/>
      <c r="F29" s="568"/>
      <c r="G29" s="413" t="s">
        <v>110</v>
      </c>
      <c r="H29" s="413" t="s">
        <v>111</v>
      </c>
      <c r="I29" s="90"/>
      <c r="J29" s="90"/>
      <c r="K29" s="90"/>
      <c r="L29" s="90"/>
      <c r="N29" s="579"/>
      <c r="O29" s="555"/>
      <c r="P29" s="72" t="s">
        <v>27</v>
      </c>
      <c r="Q29" s="412">
        <v>30</v>
      </c>
      <c r="R29" s="107">
        <f>IFERROR(O28/$R$11, "")</f>
        <v>315.57227818910064</v>
      </c>
    </row>
    <row r="30" spans="2:20" ht="33" customHeight="1" x14ac:dyDescent="0.2">
      <c r="B30" s="79"/>
      <c r="C30" s="577" t="s">
        <v>149</v>
      </c>
      <c r="D30" s="578">
        <f>INDEX('Health Data'!$P:$P,MATCH($C$2,'Health Data'!$B:$B,0))</f>
        <v>5.2378738884397729</v>
      </c>
      <c r="E30" s="72" t="s">
        <v>103</v>
      </c>
      <c r="F30" s="412">
        <v>300</v>
      </c>
      <c r="G30" s="419">
        <f>D30/$H$10</f>
        <v>1.5399349232012931</v>
      </c>
      <c r="H30" s="419">
        <f>D30/$H$11</f>
        <v>7.0259530871059006</v>
      </c>
      <c r="I30" s="77"/>
      <c r="J30" s="77"/>
      <c r="K30" s="77"/>
      <c r="L30" s="77"/>
      <c r="N30" s="74"/>
      <c r="O30" s="75"/>
      <c r="P30" s="81"/>
      <c r="Q30" s="75"/>
      <c r="R30" s="77"/>
    </row>
    <row r="31" spans="2:20" ht="33" customHeight="1" x14ac:dyDescent="0.35">
      <c r="B31" s="79"/>
      <c r="C31" s="577"/>
      <c r="D31" s="559"/>
      <c r="E31" s="72" t="s">
        <v>27</v>
      </c>
      <c r="F31" s="412">
        <v>300</v>
      </c>
      <c r="G31" s="419">
        <f>D30/$H$12</f>
        <v>23.419843623686333</v>
      </c>
      <c r="H31" s="419">
        <f>D30/$H$13</f>
        <v>802.96606709781713</v>
      </c>
      <c r="I31" s="77"/>
      <c r="J31" s="77"/>
      <c r="K31" s="77"/>
      <c r="L31" s="77"/>
      <c r="N31" s="83" t="s">
        <v>125</v>
      </c>
      <c r="O31" s="85"/>
      <c r="P31" s="85"/>
      <c r="Q31" s="85"/>
      <c r="R31" s="85"/>
      <c r="S31" s="85"/>
      <c r="T31" s="85"/>
    </row>
    <row r="32" spans="2:20" ht="25.5" x14ac:dyDescent="0.2">
      <c r="B32" s="79"/>
      <c r="C32" s="80"/>
      <c r="D32" s="75"/>
      <c r="E32" s="81"/>
      <c r="F32" s="75"/>
      <c r="G32" s="77"/>
      <c r="H32" s="77"/>
      <c r="I32" s="77"/>
      <c r="J32" s="77"/>
      <c r="K32" s="77"/>
      <c r="L32" s="77"/>
      <c r="N32" s="566" t="s">
        <v>106</v>
      </c>
      <c r="O32" s="566" t="s">
        <v>121</v>
      </c>
      <c r="P32" s="566" t="s">
        <v>23</v>
      </c>
      <c r="Q32" s="566" t="s">
        <v>108</v>
      </c>
      <c r="R32" s="411" t="s">
        <v>123</v>
      </c>
    </row>
    <row r="33" spans="2:20" ht="33" customHeight="1" x14ac:dyDescent="0.35">
      <c r="B33" s="79"/>
      <c r="C33" s="83" t="s">
        <v>126</v>
      </c>
      <c r="D33" s="85"/>
      <c r="E33" s="85"/>
      <c r="F33" s="85"/>
      <c r="G33" s="85"/>
      <c r="H33" s="85"/>
      <c r="I33" s="77"/>
      <c r="J33" s="77"/>
      <c r="K33" s="77"/>
      <c r="L33" s="77"/>
      <c r="N33" s="581"/>
      <c r="O33" s="567"/>
      <c r="P33" s="567"/>
      <c r="Q33" s="567"/>
      <c r="R33" s="411" t="s">
        <v>116</v>
      </c>
    </row>
    <row r="34" spans="2:20" ht="33" customHeight="1" x14ac:dyDescent="0.2">
      <c r="B34" s="79"/>
      <c r="C34" s="582" t="s">
        <v>127</v>
      </c>
      <c r="D34" s="566" t="s">
        <v>128</v>
      </c>
      <c r="E34" s="566" t="s">
        <v>23</v>
      </c>
      <c r="F34" s="583" t="s">
        <v>129</v>
      </c>
      <c r="G34" s="568" t="s">
        <v>130</v>
      </c>
      <c r="H34" s="568"/>
      <c r="I34" s="77"/>
      <c r="J34" s="77"/>
      <c r="K34" s="77"/>
      <c r="L34" s="77"/>
      <c r="N34" s="579" t="s">
        <v>124</v>
      </c>
      <c r="O34" s="580">
        <f>INDEX('Health Data'!$T:$T,MATCH($C$2,'Health Data'!$B:$B,0))</f>
        <v>6.5</v>
      </c>
      <c r="P34" s="72" t="s">
        <v>103</v>
      </c>
      <c r="Q34" s="412">
        <v>300</v>
      </c>
      <c r="R34" s="107">
        <f>IFERROR(O34/$S$10, "")</f>
        <v>112.62423972704346</v>
      </c>
    </row>
    <row r="35" spans="2:20" ht="33" customHeight="1" x14ac:dyDescent="0.2">
      <c r="B35" s="79"/>
      <c r="C35" s="530"/>
      <c r="D35" s="567"/>
      <c r="E35" s="567"/>
      <c r="F35" s="584"/>
      <c r="G35" s="413" t="s">
        <v>131</v>
      </c>
      <c r="H35" s="413" t="s">
        <v>28</v>
      </c>
      <c r="I35" s="77"/>
      <c r="J35" s="77"/>
      <c r="K35" s="77"/>
      <c r="L35" s="77"/>
      <c r="N35" s="579"/>
      <c r="O35" s="555"/>
      <c r="P35" s="72" t="s">
        <v>27</v>
      </c>
      <c r="Q35" s="412">
        <v>300</v>
      </c>
      <c r="R35" s="107">
        <f>IFERROR(O34/$S$11, "")</f>
        <v>337.87271918113038</v>
      </c>
    </row>
    <row r="36" spans="2:20" ht="33" customHeight="1" x14ac:dyDescent="0.2">
      <c r="B36" s="79"/>
      <c r="C36" s="572" t="s">
        <v>132</v>
      </c>
      <c r="D36" s="574">
        <f>INDEX('Health Data'!$Y:$Y,MATCH($C$2,'Health Data'!$B:$B,0))</f>
        <v>2.8736850715746418E-2</v>
      </c>
      <c r="E36" s="71" t="s">
        <v>103</v>
      </c>
      <c r="F36" s="107">
        <v>1E-4</v>
      </c>
      <c r="G36" s="103">
        <f>I10*D36</f>
        <v>5.0125328302365983E-2</v>
      </c>
      <c r="H36" s="104">
        <f>I11*D36</f>
        <v>1.098637332654597E-2</v>
      </c>
      <c r="I36" s="77"/>
      <c r="J36" s="77"/>
      <c r="K36" s="77"/>
      <c r="L36" s="77"/>
    </row>
    <row r="37" spans="2:20" ht="33" customHeight="1" x14ac:dyDescent="0.35">
      <c r="B37" s="79"/>
      <c r="C37" s="573"/>
      <c r="D37" s="575"/>
      <c r="E37" s="71" t="s">
        <v>27</v>
      </c>
      <c r="F37" s="107">
        <v>1E-4</v>
      </c>
      <c r="G37" s="105">
        <f>I12*D36</f>
        <v>2.5543317984219379E-3</v>
      </c>
      <c r="H37" s="104">
        <f>I13*D36</f>
        <v>7.4501344120639845E-5</v>
      </c>
      <c r="I37" s="77"/>
      <c r="J37" s="77"/>
      <c r="K37" s="77"/>
      <c r="L37" s="77"/>
      <c r="N37" s="83" t="s">
        <v>126</v>
      </c>
      <c r="O37" s="85"/>
      <c r="P37" s="85"/>
      <c r="Q37" s="85"/>
      <c r="R37" s="85"/>
    </row>
    <row r="38" spans="2:20" ht="33" customHeight="1" x14ac:dyDescent="0.2">
      <c r="B38" s="79"/>
      <c r="I38" s="77"/>
      <c r="J38" s="77"/>
      <c r="K38" s="77"/>
      <c r="L38" s="77"/>
      <c r="N38" s="566" t="s">
        <v>127</v>
      </c>
      <c r="O38" s="566" t="s">
        <v>133</v>
      </c>
      <c r="P38" s="566" t="s">
        <v>23</v>
      </c>
      <c r="Q38" s="566" t="s">
        <v>129</v>
      </c>
      <c r="R38" s="411" t="s">
        <v>130</v>
      </c>
    </row>
    <row r="39" spans="2:20" ht="33" customHeight="1" x14ac:dyDescent="0.35">
      <c r="B39" s="79"/>
      <c r="C39" s="83" t="s">
        <v>134</v>
      </c>
      <c r="I39" s="77"/>
      <c r="J39" s="77"/>
      <c r="K39" s="77"/>
      <c r="L39" s="77"/>
      <c r="N39" s="567"/>
      <c r="O39" s="567"/>
      <c r="P39" s="567"/>
      <c r="Q39" s="567"/>
      <c r="R39" s="411" t="s">
        <v>135</v>
      </c>
    </row>
    <row r="40" spans="2:20" ht="33" customHeight="1" thickBot="1" x14ac:dyDescent="0.4">
      <c r="B40" s="79"/>
      <c r="C40" s="83"/>
      <c r="I40" s="77"/>
      <c r="J40" s="77"/>
      <c r="K40" s="77"/>
      <c r="L40" s="77"/>
      <c r="N40" s="572" t="s">
        <v>132</v>
      </c>
      <c r="O40" s="574">
        <f>INDEX('Health Data'!$AB:$AB,MATCH($C$2,'Health Data'!$B:$B,0))</f>
        <v>3.9E-2</v>
      </c>
      <c r="P40" s="71" t="s">
        <v>103</v>
      </c>
      <c r="Q40" s="561">
        <v>1E-4</v>
      </c>
      <c r="R40" s="107">
        <f>IFERROR(T10*O40, "")</f>
        <v>1.1542808219178083E-3</v>
      </c>
    </row>
    <row r="41" spans="2:20" ht="15.75" x14ac:dyDescent="0.25">
      <c r="B41" s="79"/>
      <c r="C41" s="325" t="s">
        <v>136</v>
      </c>
      <c r="I41" s="77"/>
      <c r="J41" s="77"/>
      <c r="K41" s="77"/>
      <c r="L41" s="77"/>
      <c r="N41" s="576"/>
      <c r="O41" s="575"/>
      <c r="P41" s="71" t="s">
        <v>27</v>
      </c>
      <c r="Q41" s="562"/>
      <c r="R41" s="107">
        <f>IFERROR(T11*O40, "")</f>
        <v>2.9818921232876712E-4</v>
      </c>
    </row>
    <row r="42" spans="2:20" ht="16.5" thickBot="1" x14ac:dyDescent="0.3">
      <c r="B42" s="79"/>
      <c r="C42" s="326" t="s">
        <v>30</v>
      </c>
      <c r="I42" s="77"/>
      <c r="J42" s="77"/>
      <c r="K42" s="77"/>
      <c r="L42" s="77"/>
    </row>
    <row r="43" spans="2:20" ht="33" customHeight="1" x14ac:dyDescent="0.35">
      <c r="B43" s="79"/>
      <c r="C43" s="317"/>
      <c r="I43" s="77"/>
      <c r="J43" s="77"/>
      <c r="K43" s="77"/>
      <c r="L43" s="77"/>
      <c r="N43" s="83" t="s">
        <v>137</v>
      </c>
    </row>
    <row r="44" spans="2:20" ht="33" customHeight="1" thickBot="1" x14ac:dyDescent="0.25">
      <c r="B44" s="79"/>
      <c r="I44" s="77"/>
      <c r="J44" s="77"/>
      <c r="K44" s="77"/>
      <c r="L44" s="77"/>
    </row>
    <row r="45" spans="2:20" ht="33" customHeight="1" x14ac:dyDescent="0.2">
      <c r="B45" s="548" t="s">
        <v>138</v>
      </c>
      <c r="C45" s="540" t="s">
        <v>107</v>
      </c>
      <c r="D45" s="540" t="s">
        <v>23</v>
      </c>
      <c r="E45" s="540" t="s">
        <v>108</v>
      </c>
      <c r="F45" s="540" t="str">
        <f>_xlfn.CONCAT("Exposure Estimates: ",$C$42," MOE")</f>
        <v>Exposure Estimates: Worker MOE</v>
      </c>
      <c r="G45" s="540"/>
      <c r="H45" s="540"/>
      <c r="I45" s="540"/>
      <c r="J45" s="540"/>
      <c r="K45" s="542"/>
      <c r="L45" s="77"/>
      <c r="N45" s="532" t="s">
        <v>121</v>
      </c>
      <c r="O45" s="540" t="s">
        <v>23</v>
      </c>
      <c r="P45" s="540" t="s">
        <v>108</v>
      </c>
      <c r="Q45" s="540" t="str">
        <f>_xlfn.CONCAT("Exposure Estimates: ",$C$42," MOE")</f>
        <v>Exposure Estimates: Worker MOE</v>
      </c>
      <c r="R45" s="540"/>
      <c r="S45" s="540"/>
      <c r="T45" s="542"/>
    </row>
    <row r="46" spans="2:20" ht="33" customHeight="1" thickBot="1" x14ac:dyDescent="0.25">
      <c r="B46" s="549"/>
      <c r="C46" s="541"/>
      <c r="D46" s="541"/>
      <c r="E46" s="541"/>
      <c r="F46" s="416" t="s">
        <v>139</v>
      </c>
      <c r="G46" s="416" t="s">
        <v>34</v>
      </c>
      <c r="H46" s="416" t="s">
        <v>35</v>
      </c>
      <c r="I46" s="416" t="s">
        <v>32</v>
      </c>
      <c r="J46" s="416" t="s">
        <v>140</v>
      </c>
      <c r="K46" s="290" t="s">
        <v>31</v>
      </c>
      <c r="L46" s="77"/>
      <c r="N46" s="533"/>
      <c r="O46" s="541"/>
      <c r="P46" s="541"/>
      <c r="Q46" s="318" t="s">
        <v>135</v>
      </c>
      <c r="R46" s="318" t="s">
        <v>33</v>
      </c>
      <c r="S46" s="318" t="s">
        <v>141</v>
      </c>
      <c r="T46" s="319" t="s">
        <v>142</v>
      </c>
    </row>
    <row r="47" spans="2:20" ht="33" customHeight="1" x14ac:dyDescent="0.2">
      <c r="B47" s="550" t="s">
        <v>143</v>
      </c>
      <c r="C47" s="555">
        <f>INDEX('Health Data'!$G:$G,MATCH($C$2,'Health Data'!$B:$B,0))</f>
        <v>2.4163399353274051</v>
      </c>
      <c r="D47" s="292" t="s">
        <v>103</v>
      </c>
      <c r="E47" s="421">
        <v>30</v>
      </c>
      <c r="F47" s="304">
        <f>IFERROR($C47/IF($C$42="Worker",$F$10,$F$11), "")</f>
        <v>0.48657804177140901</v>
      </c>
      <c r="G47" s="305">
        <f>IFERROR($F47*'List Values'!$B$9, "")</f>
        <v>4.86578041771409</v>
      </c>
      <c r="H47" s="305">
        <f>IFERROR($F47*'List Values'!$B$10, "")</f>
        <v>12.164451044285226</v>
      </c>
      <c r="I47" s="305">
        <f>IFERROR($F47*'List Values'!$B$11, "")</f>
        <v>24.328902088570452</v>
      </c>
      <c r="J47" s="305">
        <f>IFERROR($F47*'List Values'!$B$12, "")</f>
        <v>486.578041771409</v>
      </c>
      <c r="K47" s="306">
        <f>IFERROR($F47*'List Values'!$B$13, "")</f>
        <v>4865.7804177140897</v>
      </c>
      <c r="L47" s="77"/>
      <c r="N47" s="534">
        <f>INDEX('Health Data'!$K:$K,MATCH($C$2,'Health Data'!$B:$B,0))</f>
        <v>19.899999999999999</v>
      </c>
      <c r="O47" s="292" t="s">
        <v>103</v>
      </c>
      <c r="P47" s="421">
        <v>30</v>
      </c>
      <c r="Q47" s="305">
        <f>IFERROR($N47/Q$10, "")</f>
        <v>236.16674083963801</v>
      </c>
      <c r="R47" s="305">
        <f>IFERROR($N47/$Q$12, "")</f>
        <v>1180.8337041981902</v>
      </c>
      <c r="S47" s="305">
        <f>IFERROR($N47/$Q$14, "")</f>
        <v>2361.6674083963803</v>
      </c>
      <c r="T47" s="306">
        <f>IFERROR($N47/$Q$16, "")</f>
        <v>4723.3348167927606</v>
      </c>
    </row>
    <row r="48" spans="2:20" ht="33" customHeight="1" thickBot="1" x14ac:dyDescent="0.25">
      <c r="B48" s="551"/>
      <c r="C48" s="556"/>
      <c r="D48" s="293" t="s">
        <v>27</v>
      </c>
      <c r="E48" s="418">
        <v>30</v>
      </c>
      <c r="F48" s="303">
        <f>IFERROR($C47/IF($C$42="Worker",$F$12,$F$13), "")</f>
        <v>7.4000410519401774</v>
      </c>
      <c r="G48" s="303">
        <f>IFERROR($F48*'List Values'!$B$9, "")</f>
        <v>74.000410519401768</v>
      </c>
      <c r="H48" s="303">
        <f>IFERROR($F48*'List Values'!$B$10, "")</f>
        <v>185.00102629850443</v>
      </c>
      <c r="I48" s="303">
        <f>IFERROR($F48*'List Values'!$B$11, "")</f>
        <v>370.00205259700886</v>
      </c>
      <c r="J48" s="303">
        <f>IFERROR($F48*'List Values'!$B$12, "")</f>
        <v>7400.0410519401776</v>
      </c>
      <c r="K48" s="307">
        <f>IFERROR($F48*'List Values'!$B$13, "")</f>
        <v>74000.410519401776</v>
      </c>
      <c r="L48" s="77"/>
      <c r="N48" s="535"/>
      <c r="O48" s="293" t="s">
        <v>27</v>
      </c>
      <c r="P48" s="418">
        <v>30</v>
      </c>
      <c r="Q48" s="321">
        <f>IFERROR($N47/$Q$11, "")</f>
        <v>708.50022251891414</v>
      </c>
      <c r="R48" s="321">
        <f>IFERROR($N47/$Q$13, "")</f>
        <v>3542.5011125945707</v>
      </c>
      <c r="S48" s="321">
        <f>IFERROR($N47/$Q$15, "")</f>
        <v>7085.0022251891414</v>
      </c>
      <c r="T48" s="322">
        <f>IFERROR($N47/$Q$17, "")</f>
        <v>14170.004450378283</v>
      </c>
    </row>
    <row r="49" spans="2:20" ht="33" customHeight="1" x14ac:dyDescent="0.2">
      <c r="B49" s="552" t="s">
        <v>144</v>
      </c>
      <c r="C49" s="557">
        <v>22</v>
      </c>
      <c r="D49" s="299" t="s">
        <v>103</v>
      </c>
      <c r="E49" s="417">
        <v>30</v>
      </c>
      <c r="F49" s="300">
        <f>IFERROR($C49/IF($C$42="Worker",$G$10,$G$11), "")</f>
        <v>6.0410958904109595</v>
      </c>
      <c r="G49" s="301">
        <f>IFERROR($F49*'List Values'!$B$9, "")</f>
        <v>60.410958904109592</v>
      </c>
      <c r="H49" s="301">
        <f>IFERROR($F49*'List Values'!$B$10, "")</f>
        <v>151.027397260274</v>
      </c>
      <c r="I49" s="301">
        <f>IFERROR($F49*'List Values'!$B$11, "")</f>
        <v>302.054794520548</v>
      </c>
      <c r="J49" s="301">
        <f>IFERROR($F49*'List Values'!$B$12, "")</f>
        <v>6041.0958904109593</v>
      </c>
      <c r="K49" s="302">
        <f>IFERROR($F49*'List Values'!$B$13, "")</f>
        <v>60410.958904109597</v>
      </c>
      <c r="L49" s="77"/>
      <c r="N49" s="536">
        <f>INDEX('Health Data'!$T:$T,MATCH($C$2,'Health Data'!$B:$B,0))</f>
        <v>6.5</v>
      </c>
      <c r="O49" s="299" t="s">
        <v>103</v>
      </c>
      <c r="P49" s="417">
        <v>30</v>
      </c>
      <c r="Q49" s="301">
        <f>IFERROR($N$49/$R$10, "")</f>
        <v>105.19075939636686</v>
      </c>
      <c r="R49" s="301">
        <f>IFERROR($N$49/$R$12, "")</f>
        <v>525.95379698183433</v>
      </c>
      <c r="S49" s="301">
        <f>IFERROR($N$49/$R$14, "")</f>
        <v>1051.9075939636687</v>
      </c>
      <c r="T49" s="302">
        <f>IFERROR($N$49/$R$16, "")</f>
        <v>2103.8151879273373</v>
      </c>
    </row>
    <row r="50" spans="2:20" ht="33" customHeight="1" thickBot="1" x14ac:dyDescent="0.25">
      <c r="B50" s="551"/>
      <c r="C50" s="558"/>
      <c r="D50" s="293" t="s">
        <v>27</v>
      </c>
      <c r="E50" s="418">
        <v>30</v>
      </c>
      <c r="F50" s="303">
        <f>IFERROR($C49/IF($C$42="Worker",$G$12,$G$13), "")</f>
        <v>91.875000000000014</v>
      </c>
      <c r="G50" s="303">
        <f>IFERROR($F50*'List Values'!$B$9, "")</f>
        <v>918.75000000000011</v>
      </c>
      <c r="H50" s="303">
        <f>IFERROR($F50*'List Values'!$B$10, "")</f>
        <v>2296.8750000000005</v>
      </c>
      <c r="I50" s="303">
        <f>IFERROR($F50*'List Values'!$B$11, "")</f>
        <v>4593.7500000000009</v>
      </c>
      <c r="J50" s="303">
        <f>IFERROR($F50*'List Values'!$B$12, "")</f>
        <v>91875.000000000015</v>
      </c>
      <c r="K50" s="307">
        <f>IFERROR($F50*'List Values'!$B$13, "")</f>
        <v>918750.00000000012</v>
      </c>
      <c r="L50" s="77"/>
      <c r="N50" s="537"/>
      <c r="O50" s="293" t="s">
        <v>27</v>
      </c>
      <c r="P50" s="418">
        <v>30</v>
      </c>
      <c r="Q50" s="321">
        <f>IFERROR($N$49/$R$11, "")</f>
        <v>315.57227818910064</v>
      </c>
      <c r="R50" s="321">
        <f>IFERROR($N$49/$R$13, "")</f>
        <v>1577.8613909455032</v>
      </c>
      <c r="S50" s="321">
        <f>IFERROR($N$49/$R$15, "")</f>
        <v>3155.7227818910064</v>
      </c>
      <c r="T50" s="322">
        <f>IFERROR($N$49/$R$17, "")</f>
        <v>6311.4455637820129</v>
      </c>
    </row>
    <row r="51" spans="2:20" ht="33" customHeight="1" x14ac:dyDescent="0.2">
      <c r="B51" s="553" t="s">
        <v>145</v>
      </c>
      <c r="C51" s="559">
        <f>INDEX('Health Data'!$P:$P,MATCH($C$2,'Health Data'!$B:$B,0))</f>
        <v>5.2378738884397729</v>
      </c>
      <c r="D51" s="292" t="s">
        <v>103</v>
      </c>
      <c r="E51" s="421">
        <v>300</v>
      </c>
      <c r="F51" s="304">
        <f>IFERROR($C51/IF($C$42="Worker",$H$10,$H$11), "")</f>
        <v>1.5399349232012931</v>
      </c>
      <c r="G51" s="305">
        <f>IFERROR($F51*'List Values'!$B$9, "")</f>
        <v>15.399349232012931</v>
      </c>
      <c r="H51" s="305">
        <f>IFERROR($F51*'List Values'!$B$10, "")</f>
        <v>38.49837308003233</v>
      </c>
      <c r="I51" s="305">
        <f>IFERROR($F51*'List Values'!$B$11, "")</f>
        <v>76.99674616006466</v>
      </c>
      <c r="J51" s="305">
        <f>IFERROR($F51*'List Values'!$B$12, "")</f>
        <v>1539.934923201293</v>
      </c>
      <c r="K51" s="306">
        <f>IFERROR($F51*'List Values'!$B$13, "")</f>
        <v>15399.349232012932</v>
      </c>
      <c r="L51" s="77"/>
      <c r="N51" s="538">
        <f>INDEX('Health Data'!$T:$T,MATCH($C$2,'Health Data'!$B:$B,0))</f>
        <v>6.5</v>
      </c>
      <c r="O51" s="292" t="s">
        <v>103</v>
      </c>
      <c r="P51" s="421">
        <v>300</v>
      </c>
      <c r="Q51" s="305">
        <f>IFERROR($N$51/$S$10, "")</f>
        <v>112.62423972704346</v>
      </c>
      <c r="R51" s="305">
        <f>IFERROR($N$51/$S$12, "")</f>
        <v>563.1211986352173</v>
      </c>
      <c r="S51" s="305">
        <f>IFERROR($N$51/$S$14, "")</f>
        <v>1126.2423972704346</v>
      </c>
      <c r="T51" s="306">
        <f>IFERROR($N$51/$S$16, "")</f>
        <v>2252.4847945408692</v>
      </c>
    </row>
    <row r="52" spans="2:20" ht="33" customHeight="1" thickBot="1" x14ac:dyDescent="0.25">
      <c r="B52" s="554"/>
      <c r="C52" s="560"/>
      <c r="D52" s="293" t="s">
        <v>27</v>
      </c>
      <c r="E52" s="418">
        <v>300</v>
      </c>
      <c r="F52" s="303">
        <f>IFERROR($C51/IF($C$42="Worker",$H$12,$H$13), "")</f>
        <v>23.419843623686333</v>
      </c>
      <c r="G52" s="303">
        <f>IFERROR($F52*'List Values'!$B$9, "")</f>
        <v>234.19843623686333</v>
      </c>
      <c r="H52" s="303">
        <f>IFERROR($F52*'List Values'!$B$10, "")</f>
        <v>585.49609059215834</v>
      </c>
      <c r="I52" s="303">
        <f>IFERROR($F52*'List Values'!$B$11, "")</f>
        <v>1170.9921811843167</v>
      </c>
      <c r="J52" s="303">
        <f>IFERROR($F52*'List Values'!$B$12, "")</f>
        <v>23419.843623686334</v>
      </c>
      <c r="K52" s="307">
        <f>IFERROR($F52*'List Values'!$B$13, "")</f>
        <v>234198.43623686332</v>
      </c>
      <c r="L52" s="77"/>
      <c r="N52" s="539"/>
      <c r="O52" s="320" t="s">
        <v>27</v>
      </c>
      <c r="P52" s="420">
        <v>300</v>
      </c>
      <c r="Q52" s="323">
        <f>IFERROR($N$51/$S$11, "")</f>
        <v>337.87271918113038</v>
      </c>
      <c r="R52" s="323">
        <f>IFERROR($N$51/$S$13, "")</f>
        <v>1689.3635959056519</v>
      </c>
      <c r="S52" s="323">
        <f>IFERROR($N$51/$S$15, "")</f>
        <v>3378.7271918113038</v>
      </c>
      <c r="T52" s="324">
        <f>IFERROR($N$51/$S$17, "")</f>
        <v>6757.4543836226076</v>
      </c>
    </row>
    <row r="53" spans="2:20" ht="33" customHeight="1" x14ac:dyDescent="0.2">
      <c r="B53" s="294"/>
      <c r="C53" s="547" t="s">
        <v>146</v>
      </c>
      <c r="D53" s="530" t="s">
        <v>23</v>
      </c>
      <c r="E53" s="530" t="s">
        <v>108</v>
      </c>
      <c r="F53" s="530" t="str">
        <f>_xlfn.CONCAT("Exposure Estimates: ",$C$42," MOE")</f>
        <v>Exposure Estimates: Worker MOE</v>
      </c>
      <c r="G53" s="530"/>
      <c r="H53" s="530"/>
      <c r="I53" s="530"/>
      <c r="J53" s="530"/>
      <c r="K53" s="531"/>
      <c r="L53" s="77"/>
      <c r="N53" s="532" t="s">
        <v>147</v>
      </c>
      <c r="O53" s="540" t="s">
        <v>23</v>
      </c>
      <c r="P53" s="540" t="s">
        <v>108</v>
      </c>
      <c r="Q53" s="540" t="str">
        <f>_xlfn.CONCAT("Exposure Estimates: ",$I$4," MOE")</f>
        <v>Exposure Estimates:  MOE</v>
      </c>
      <c r="R53" s="540"/>
      <c r="S53" s="540"/>
      <c r="T53" s="542"/>
    </row>
    <row r="54" spans="2:20" ht="33" customHeight="1" thickBot="1" x14ac:dyDescent="0.25">
      <c r="B54" s="294"/>
      <c r="C54" s="533"/>
      <c r="D54" s="541"/>
      <c r="E54" s="541"/>
      <c r="F54" s="416" t="s">
        <v>139</v>
      </c>
      <c r="G54" s="416" t="s">
        <v>34</v>
      </c>
      <c r="H54" s="416" t="s">
        <v>35</v>
      </c>
      <c r="I54" s="416" t="s">
        <v>32</v>
      </c>
      <c r="J54" s="416" t="s">
        <v>140</v>
      </c>
      <c r="K54" s="290" t="s">
        <v>31</v>
      </c>
      <c r="L54" s="77"/>
      <c r="N54" s="533"/>
      <c r="O54" s="541"/>
      <c r="P54" s="541"/>
      <c r="Q54" s="318" t="s">
        <v>135</v>
      </c>
      <c r="R54" s="318" t="s">
        <v>33</v>
      </c>
      <c r="S54" s="318" t="s">
        <v>141</v>
      </c>
      <c r="T54" s="319" t="s">
        <v>142</v>
      </c>
    </row>
    <row r="55" spans="2:20" ht="33" customHeight="1" x14ac:dyDescent="0.2">
      <c r="B55" s="545" t="s">
        <v>148</v>
      </c>
      <c r="C55" s="543">
        <f>INDEX('Health Data'!$Y:$Y,MATCH($C$2,'Health Data'!$B:$B,0))</f>
        <v>2.8736850715746418E-2</v>
      </c>
      <c r="D55" s="299" t="s">
        <v>103</v>
      </c>
      <c r="E55" s="107">
        <v>1E-4</v>
      </c>
      <c r="F55" s="308">
        <f>IFERROR($C55*IF($C$42="Worker",$I$10,$I$11), "")</f>
        <v>5.0125328302365983E-2</v>
      </c>
      <c r="G55" s="309">
        <f>IFERROR($F55/'List Values'!$B$9, "")</f>
        <v>5.0125328302365983E-3</v>
      </c>
      <c r="H55" s="309">
        <f>IFERROR($F55/'List Values'!$B$10, "")</f>
        <v>2.0050131320946394E-3</v>
      </c>
      <c r="I55" s="309">
        <f>IFERROR($F55/'List Values'!$B$11, "")</f>
        <v>1.0025065660473197E-3</v>
      </c>
      <c r="J55" s="309">
        <f>IFERROR($F55/'List Values'!$B$12, "")</f>
        <v>5.0125328302365984E-5</v>
      </c>
      <c r="K55" s="310">
        <f>IFERROR($F55/'List Values'!$B$13, "")</f>
        <v>5.0125328302365981E-6</v>
      </c>
      <c r="L55" s="77"/>
      <c r="N55" s="563">
        <f>INDEX('Health Data'!$AB:$AB,MATCH($C$2,'Health Data'!$B:$B,0))</f>
        <v>3.9E-2</v>
      </c>
      <c r="O55" s="292" t="s">
        <v>103</v>
      </c>
      <c r="P55" s="561">
        <v>1E-4</v>
      </c>
      <c r="Q55" s="305">
        <f>IFERROR($N$55*$T10, "")</f>
        <v>1.1542808219178083E-3</v>
      </c>
      <c r="R55" s="305">
        <f>IFERROR($N$55*$T12, "")</f>
        <v>2.3085616438356165E-4</v>
      </c>
      <c r="S55" s="305">
        <f>IFERROR($N$55*$T14, "")</f>
        <v>1.1542808219178083E-4</v>
      </c>
      <c r="T55" s="306">
        <f>IFERROR($N$55*$T16, "")</f>
        <v>5.7714041095890413E-5</v>
      </c>
    </row>
    <row r="56" spans="2:20" ht="33" customHeight="1" thickBot="1" x14ac:dyDescent="0.25">
      <c r="B56" s="546"/>
      <c r="C56" s="544"/>
      <c r="D56" s="293" t="s">
        <v>27</v>
      </c>
      <c r="E56" s="107">
        <v>1E-4</v>
      </c>
      <c r="F56" s="311">
        <f>IFERROR($C55*IF($C$42="Worker",$I$12,$I$13), "")</f>
        <v>2.5543317984219379E-3</v>
      </c>
      <c r="G56" s="312">
        <f>IFERROR($F56/'List Values'!$B$9, "")</f>
        <v>2.5543317984219377E-4</v>
      </c>
      <c r="H56" s="312">
        <f>IFERROR($F56/'List Values'!$B$10, "")</f>
        <v>1.0217327193687752E-4</v>
      </c>
      <c r="I56" s="312">
        <f>IFERROR($F56/'List Values'!$B$11, "")</f>
        <v>5.1086635968438758E-5</v>
      </c>
      <c r="J56" s="312">
        <f>IFERROR($F56/'List Values'!$B$12, "")</f>
        <v>2.5543317984219378E-6</v>
      </c>
      <c r="K56" s="313">
        <f>IFERROR($F56/'List Values'!$B$13, "")</f>
        <v>2.5543317984219379E-7</v>
      </c>
      <c r="L56" s="77"/>
      <c r="N56" s="564"/>
      <c r="O56" s="293" t="s">
        <v>27</v>
      </c>
      <c r="P56" s="562"/>
      <c r="Q56" s="321">
        <f>IFERROR($N$55*$T11, "")</f>
        <v>2.9818921232876712E-4</v>
      </c>
      <c r="R56" s="321">
        <f>IFERROR($N$55*$T13, "")</f>
        <v>5.9637842465753428E-5</v>
      </c>
      <c r="S56" s="321">
        <f>IFERROR($N$55*$T15, "")</f>
        <v>2.9818921232876714E-5</v>
      </c>
      <c r="T56" s="322">
        <f>IFERROR($N$55*$T17, "")</f>
        <v>1.4909460616438357E-5</v>
      </c>
    </row>
    <row r="57" spans="2:20" ht="33" customHeight="1" x14ac:dyDescent="0.2">
      <c r="B57" s="79"/>
      <c r="I57" s="77"/>
      <c r="J57" s="77"/>
      <c r="K57" s="77"/>
      <c r="L57" s="77"/>
    </row>
    <row r="58" spans="2:20" ht="33" customHeight="1" x14ac:dyDescent="0.2">
      <c r="B58" s="79"/>
      <c r="I58" s="77"/>
      <c r="J58" s="77"/>
      <c r="K58" s="77"/>
      <c r="L58" s="77"/>
    </row>
    <row r="59" spans="2:20" ht="33" customHeight="1" x14ac:dyDescent="0.2">
      <c r="B59" s="79"/>
      <c r="I59" s="77"/>
      <c r="J59" s="77"/>
      <c r="K59" s="77"/>
      <c r="L59" s="77"/>
    </row>
    <row r="60" spans="2:20" ht="33" customHeight="1" x14ac:dyDescent="0.2">
      <c r="B60" s="79"/>
      <c r="I60" s="77"/>
      <c r="J60" s="77"/>
      <c r="K60" s="77"/>
      <c r="L60" s="77"/>
    </row>
    <row r="61" spans="2:20" s="85" customFormat="1" ht="21" x14ac:dyDescent="0.35">
      <c r="C61" s="66"/>
      <c r="D61" s="66"/>
      <c r="E61" s="66"/>
      <c r="F61" s="66"/>
      <c r="G61" s="66"/>
      <c r="H61" s="66"/>
      <c r="N61" s="66"/>
      <c r="O61" s="66"/>
      <c r="P61" s="66"/>
      <c r="Q61" s="66"/>
      <c r="R61" s="66"/>
      <c r="S61" s="66"/>
      <c r="T61" s="66"/>
    </row>
    <row r="62" spans="2:20" ht="25.5" customHeight="1" x14ac:dyDescent="0.2">
      <c r="B62" s="76"/>
      <c r="I62" s="90"/>
      <c r="J62" s="90"/>
      <c r="K62" s="90"/>
      <c r="L62" s="90"/>
    </row>
    <row r="63" spans="2:20" ht="14.45" customHeight="1" x14ac:dyDescent="0.2">
      <c r="B63" s="76"/>
      <c r="I63" s="90"/>
      <c r="J63" s="90"/>
      <c r="K63" s="90"/>
      <c r="L63" s="90"/>
    </row>
    <row r="64" spans="2:20" x14ac:dyDescent="0.2">
      <c r="B64" s="76"/>
      <c r="I64" s="89"/>
      <c r="J64" s="89"/>
      <c r="K64" s="89"/>
      <c r="L64" s="89"/>
    </row>
    <row r="65" spans="2:20" ht="21" x14ac:dyDescent="0.35">
      <c r="B65" s="76"/>
      <c r="I65" s="89"/>
      <c r="J65" s="89"/>
      <c r="K65" s="89"/>
      <c r="L65" s="89"/>
      <c r="S65" s="85"/>
      <c r="T65" s="85"/>
    </row>
    <row r="69" spans="2:20" ht="29.1" customHeight="1" x14ac:dyDescent="0.2"/>
  </sheetData>
  <sheetProtection sheet="1" objects="1" scenarios="1" formatCells="0" formatColumns="0" formatRows="0"/>
  <mergeCells count="93">
    <mergeCell ref="C8:C9"/>
    <mergeCell ref="D8:D9"/>
    <mergeCell ref="N8:N9"/>
    <mergeCell ref="O8:O9"/>
    <mergeCell ref="D10:D11"/>
    <mergeCell ref="N10:N11"/>
    <mergeCell ref="G16:H16"/>
    <mergeCell ref="D12:D13"/>
    <mergeCell ref="C16:C17"/>
    <mergeCell ref="D16:D17"/>
    <mergeCell ref="E16:E17"/>
    <mergeCell ref="F16:F17"/>
    <mergeCell ref="P20:P21"/>
    <mergeCell ref="Q20:Q21"/>
    <mergeCell ref="C18:C19"/>
    <mergeCell ref="D18:D19"/>
    <mergeCell ref="N22:N23"/>
    <mergeCell ref="O22:O23"/>
    <mergeCell ref="C22:C23"/>
    <mergeCell ref="D22:D23"/>
    <mergeCell ref="E22:E23"/>
    <mergeCell ref="F22:F23"/>
    <mergeCell ref="G22:H22"/>
    <mergeCell ref="P26:P27"/>
    <mergeCell ref="Q26:Q27"/>
    <mergeCell ref="C24:C25"/>
    <mergeCell ref="D24:D25"/>
    <mergeCell ref="N28:N29"/>
    <mergeCell ref="O28:O29"/>
    <mergeCell ref="N26:N27"/>
    <mergeCell ref="C28:C29"/>
    <mergeCell ref="D28:D29"/>
    <mergeCell ref="E28:E29"/>
    <mergeCell ref="F28:F29"/>
    <mergeCell ref="G28:H28"/>
    <mergeCell ref="P32:P33"/>
    <mergeCell ref="Q32:Q33"/>
    <mergeCell ref="C30:C31"/>
    <mergeCell ref="D30:D31"/>
    <mergeCell ref="N34:N35"/>
    <mergeCell ref="O34:O35"/>
    <mergeCell ref="N32:N33"/>
    <mergeCell ref="C34:C35"/>
    <mergeCell ref="D34:D35"/>
    <mergeCell ref="E34:E35"/>
    <mergeCell ref="F34:F35"/>
    <mergeCell ref="G34:H34"/>
    <mergeCell ref="P38:P39"/>
    <mergeCell ref="Q38:Q39"/>
    <mergeCell ref="C36:C37"/>
    <mergeCell ref="D36:D37"/>
    <mergeCell ref="N40:N41"/>
    <mergeCell ref="O40:O41"/>
    <mergeCell ref="Q40:Q41"/>
    <mergeCell ref="N38:N39"/>
    <mergeCell ref="B45:B46"/>
    <mergeCell ref="C45:C46"/>
    <mergeCell ref="D45:D46"/>
    <mergeCell ref="E45:E46"/>
    <mergeCell ref="F45:K45"/>
    <mergeCell ref="B47:B48"/>
    <mergeCell ref="C47:C48"/>
    <mergeCell ref="B49:B50"/>
    <mergeCell ref="C49:C50"/>
    <mergeCell ref="B51:B52"/>
    <mergeCell ref="C51:C52"/>
    <mergeCell ref="C53:C54"/>
    <mergeCell ref="D53:D54"/>
    <mergeCell ref="E53:E54"/>
    <mergeCell ref="F53:K53"/>
    <mergeCell ref="B55:B56"/>
    <mergeCell ref="C55:C56"/>
    <mergeCell ref="N12:N13"/>
    <mergeCell ref="N14:N15"/>
    <mergeCell ref="N16:N17"/>
    <mergeCell ref="N45:N46"/>
    <mergeCell ref="O45:O46"/>
    <mergeCell ref="O38:O39"/>
    <mergeCell ref="O32:O33"/>
    <mergeCell ref="O26:O27"/>
    <mergeCell ref="N20:N21"/>
    <mergeCell ref="O20:O21"/>
    <mergeCell ref="P45:P46"/>
    <mergeCell ref="Q45:T45"/>
    <mergeCell ref="N47:N48"/>
    <mergeCell ref="N49:N50"/>
    <mergeCell ref="N51:N52"/>
    <mergeCell ref="N53:N54"/>
    <mergeCell ref="O53:O54"/>
    <mergeCell ref="P53:P54"/>
    <mergeCell ref="Q53:T53"/>
    <mergeCell ref="N55:N56"/>
    <mergeCell ref="P55:P56"/>
  </mergeCells>
  <conditionalFormatting sqref="E10:I13">
    <cfRule type="cellIs" dxfId="1749" priority="31" operator="between">
      <formula>0.1</formula>
      <formula>0.999</formula>
    </cfRule>
    <cfRule type="cellIs" dxfId="1748" priority="33" operator="greaterThan">
      <formula>10</formula>
    </cfRule>
    <cfRule type="cellIs" dxfId="1747" priority="34" operator="greaterThan">
      <formula>10000</formula>
    </cfRule>
    <cfRule type="cellIs" dxfId="1746" priority="23" operator="greaterThanOrEqual">
      <formula>10000</formula>
    </cfRule>
    <cfRule type="cellIs" dxfId="1745" priority="24" operator="greaterThanOrEqual">
      <formula>10</formula>
    </cfRule>
    <cfRule type="cellIs" dxfId="1744" priority="25" operator="between">
      <formula>1</formula>
      <formula>9.999</formula>
    </cfRule>
    <cfRule type="cellIs" dxfId="1743" priority="26" operator="between">
      <formula>0.1</formula>
      <formula>0.999</formula>
    </cfRule>
    <cfRule type="cellIs" dxfId="1742" priority="27" operator="lessThanOrEqual">
      <formula>0.1</formula>
    </cfRule>
    <cfRule type="containsBlanks" dxfId="1741" priority="28" stopIfTrue="1">
      <formula>LEN(TRIM(E10))=0</formula>
    </cfRule>
    <cfRule type="cellIs" dxfId="1740" priority="29" operator="equal">
      <formula>0</formula>
    </cfRule>
    <cfRule type="cellIs" dxfId="1739" priority="30" operator="lessThan">
      <formula>0.1</formula>
    </cfRule>
    <cfRule type="cellIs" dxfId="1738" priority="32" operator="between">
      <formula>1</formula>
      <formula>10</formula>
    </cfRule>
  </conditionalFormatting>
  <conditionalFormatting sqref="F47:K48">
    <cfRule type="cellIs" dxfId="1737" priority="152" operator="lessThan">
      <formula>$E$47</formula>
    </cfRule>
    <cfRule type="cellIs" dxfId="1736" priority="151" operator="greaterThanOrEqual">
      <formula>$E$47</formula>
    </cfRule>
  </conditionalFormatting>
  <conditionalFormatting sqref="F47:K52">
    <cfRule type="cellIs" dxfId="1735" priority="129" operator="greaterThanOrEqual">
      <formula>10000</formula>
    </cfRule>
    <cfRule type="containsBlanks" dxfId="1734" priority="134" stopIfTrue="1">
      <formula>LEN(TRIM(F47))=0</formula>
    </cfRule>
    <cfRule type="cellIs" dxfId="1733" priority="133" operator="lessThanOrEqual">
      <formula>0.1</formula>
    </cfRule>
    <cfRule type="cellIs" dxfId="1732" priority="132" operator="between">
      <formula>0.1</formula>
      <formula>0.999</formula>
    </cfRule>
    <cfRule type="cellIs" dxfId="1731" priority="131" operator="between">
      <formula>1</formula>
      <formula>9.999</formula>
    </cfRule>
    <cfRule type="cellIs" dxfId="1730" priority="130" operator="greaterThanOrEqual">
      <formula>10</formula>
    </cfRule>
  </conditionalFormatting>
  <conditionalFormatting sqref="F49:K50">
    <cfRule type="cellIs" dxfId="1729" priority="144" operator="lessThan">
      <formula>$E$49</formula>
    </cfRule>
    <cfRule type="cellIs" dxfId="1728" priority="143" operator="greaterThanOrEqual">
      <formula>$E$49</formula>
    </cfRule>
  </conditionalFormatting>
  <conditionalFormatting sqref="F51:K52">
    <cfRule type="cellIs" dxfId="1727" priority="136" operator="lessThan">
      <formula>$E$51</formula>
    </cfRule>
    <cfRule type="cellIs" dxfId="1726" priority="135" operator="greaterThanOrEqual">
      <formula>$E$51</formula>
    </cfRule>
  </conditionalFormatting>
  <conditionalFormatting sqref="F55:K55">
    <cfRule type="containsBlanks" dxfId="1725" priority="19" stopIfTrue="1">
      <formula>LEN(TRIM(F55))=0</formula>
    </cfRule>
    <cfRule type="cellIs" dxfId="1724" priority="20" operator="greaterThanOrEqual">
      <formula>0.0001</formula>
    </cfRule>
  </conditionalFormatting>
  <conditionalFormatting sqref="F55:K56">
    <cfRule type="cellIs" dxfId="1723" priority="2" operator="between">
      <formula>0.1</formula>
      <formula>0.999</formula>
    </cfRule>
    <cfRule type="cellIs" dxfId="1722" priority="14" operator="greaterThanOrEqual">
      <formula>10000</formula>
    </cfRule>
    <cfRule type="cellIs" dxfId="1721" priority="15" operator="greaterThanOrEqual">
      <formula>10</formula>
    </cfRule>
    <cfRule type="cellIs" dxfId="1720" priority="1" operator="between">
      <formula>1</formula>
      <formula>9.999</formula>
    </cfRule>
  </conditionalFormatting>
  <conditionalFormatting sqref="F56:K56">
    <cfRule type="containsBlanks" dxfId="1719" priority="3" stopIfTrue="1">
      <formula>LEN(TRIM(F56))=0</formula>
    </cfRule>
    <cfRule type="cellIs" dxfId="1718" priority="4" operator="greaterThanOrEqual">
      <formula>0.0001</formula>
    </cfRule>
    <cfRule type="cellIs" dxfId="1717" priority="18" operator="lessThanOrEqual">
      <formula>0.1</formula>
    </cfRule>
  </conditionalFormatting>
  <conditionalFormatting sqref="G18:H19 G24:H25 G30:H31">
    <cfRule type="cellIs" dxfId="1716" priority="170" operator="greaterThanOrEqual">
      <formula>10</formula>
    </cfRule>
    <cfRule type="cellIs" dxfId="1715" priority="171" operator="between">
      <formula>1</formula>
      <formula>9.999</formula>
    </cfRule>
    <cfRule type="cellIs" dxfId="1714" priority="172" operator="between">
      <formula>0.1</formula>
      <formula>0.999</formula>
    </cfRule>
    <cfRule type="cellIs" dxfId="1713" priority="173" operator="lessThanOrEqual">
      <formula>0.1</formula>
    </cfRule>
    <cfRule type="containsBlanks" dxfId="1712" priority="174" stopIfTrue="1">
      <formula>LEN(TRIM(G18))=0</formula>
    </cfRule>
    <cfRule type="cellIs" dxfId="1711" priority="175" operator="lessThan">
      <formula>$F18</formula>
    </cfRule>
    <cfRule type="cellIs" dxfId="1710" priority="169" operator="greaterThanOrEqual">
      <formula>10000</formula>
    </cfRule>
  </conditionalFormatting>
  <conditionalFormatting sqref="G36:H37 R40:R41">
    <cfRule type="cellIs" dxfId="1709" priority="167" operator="greaterThan">
      <formula>0.0001</formula>
    </cfRule>
  </conditionalFormatting>
  <conditionalFormatting sqref="G36:H37">
    <cfRule type="containsBlanks" dxfId="1708" priority="165" stopIfTrue="1">
      <formula>LEN(TRIM(G36))=0</formula>
    </cfRule>
    <cfRule type="cellIs" dxfId="1707" priority="164" operator="lessThanOrEqual">
      <formula>0.1</formula>
    </cfRule>
    <cfRule type="cellIs" dxfId="1706" priority="162" operator="between">
      <formula>1</formula>
      <formula>9.999</formula>
    </cfRule>
    <cfRule type="cellIs" dxfId="1705" priority="163" operator="between">
      <formula>0.1</formula>
      <formula>0.999</formula>
    </cfRule>
    <cfRule type="cellIs" dxfId="1704" priority="161" operator="greaterThanOrEqual">
      <formula>10</formula>
    </cfRule>
    <cfRule type="cellIs" dxfId="1703" priority="160" operator="greaterThanOrEqual">
      <formula>10000</formula>
    </cfRule>
    <cfRule type="cellIs" dxfId="1702" priority="166" operator="equal">
      <formula>0</formula>
    </cfRule>
  </conditionalFormatting>
  <conditionalFormatting sqref="P10:T17">
    <cfRule type="cellIs" dxfId="1701" priority="36" operator="greaterThanOrEqual">
      <formula>10</formula>
    </cfRule>
    <cfRule type="cellIs" dxfId="1700" priority="43" operator="between">
      <formula>0.1</formula>
      <formula>0.999</formula>
    </cfRule>
    <cfRule type="cellIs" dxfId="1699" priority="35" operator="greaterThanOrEqual">
      <formula>10000</formula>
    </cfRule>
    <cfRule type="cellIs" dxfId="1698" priority="37" operator="between">
      <formula>1</formula>
      <formula>9.999</formula>
    </cfRule>
    <cfRule type="cellIs" dxfId="1697" priority="38" operator="between">
      <formula>0.1</formula>
      <formula>0.999</formula>
    </cfRule>
    <cfRule type="cellIs" dxfId="1696" priority="39" operator="lessThanOrEqual">
      <formula>0.1</formula>
    </cfRule>
    <cfRule type="containsBlanks" dxfId="1695" priority="40" stopIfTrue="1">
      <formula>LEN(TRIM(P10))=0</formula>
    </cfRule>
    <cfRule type="cellIs" dxfId="1694" priority="41" operator="equal">
      <formula>0</formula>
    </cfRule>
    <cfRule type="cellIs" dxfId="1693" priority="42" operator="lessThan">
      <formula>0.1</formula>
    </cfRule>
    <cfRule type="cellIs" dxfId="1692" priority="44" operator="between">
      <formula>1</formula>
      <formula>10</formula>
    </cfRule>
    <cfRule type="cellIs" dxfId="1691" priority="46" operator="greaterThan">
      <formula>10000</formula>
    </cfRule>
    <cfRule type="cellIs" dxfId="1690" priority="45" operator="greaterThan">
      <formula>10</formula>
    </cfRule>
  </conditionalFormatting>
  <conditionalFormatting sqref="Q47:T47">
    <cfRule type="cellIs" dxfId="1689" priority="113" operator="greaterThanOrEqual">
      <formula>$P$47</formula>
    </cfRule>
    <cfRule type="cellIs" dxfId="1688" priority="114" operator="lessThan">
      <formula>$P$47</formula>
    </cfRule>
  </conditionalFormatting>
  <conditionalFormatting sqref="Q47:T52">
    <cfRule type="containsBlanks" dxfId="1687" priority="69" stopIfTrue="1">
      <formula>LEN(TRIM(Q47))=0</formula>
    </cfRule>
    <cfRule type="cellIs" dxfId="1686" priority="68" operator="between">
      <formula>0.1</formula>
      <formula>0.999</formula>
    </cfRule>
    <cfRule type="cellIs" dxfId="1685" priority="67" operator="between">
      <formula>1</formula>
      <formula>9.999</formula>
    </cfRule>
    <cfRule type="cellIs" dxfId="1684" priority="71" operator="greaterThanOrEqual">
      <formula>10</formula>
    </cfRule>
    <cfRule type="cellIs" dxfId="1683" priority="72" operator="lessThanOrEqual">
      <formula>0.1</formula>
    </cfRule>
    <cfRule type="cellIs" dxfId="1682" priority="70" operator="greaterThanOrEqual">
      <formula>10000</formula>
    </cfRule>
  </conditionalFormatting>
  <conditionalFormatting sqref="Q48:T48">
    <cfRule type="cellIs" dxfId="1681" priority="106" operator="lessThan">
      <formula>$P$48</formula>
    </cfRule>
    <cfRule type="cellIs" dxfId="1680" priority="105" operator="greaterThanOrEqual">
      <formula>$P$48</formula>
    </cfRule>
  </conditionalFormatting>
  <conditionalFormatting sqref="Q49:T49">
    <cfRule type="cellIs" dxfId="1679" priority="97" operator="greaterThanOrEqual">
      <formula>$P$49</formula>
    </cfRule>
    <cfRule type="cellIs" dxfId="1678" priority="98" operator="lessThan">
      <formula>$P$49</formula>
    </cfRule>
  </conditionalFormatting>
  <conditionalFormatting sqref="Q50:T50">
    <cfRule type="cellIs" dxfId="1677" priority="89" operator="greaterThanOrEqual">
      <formula>$P$48</formula>
    </cfRule>
    <cfRule type="cellIs" dxfId="1676" priority="90" operator="lessThan">
      <formula>$P$48</formula>
    </cfRule>
  </conditionalFormatting>
  <conditionalFormatting sqref="Q51:T51">
    <cfRule type="cellIs" dxfId="1675" priority="82" operator="lessThan">
      <formula>$P$49</formula>
    </cfRule>
    <cfRule type="cellIs" dxfId="1674" priority="81" operator="greaterThanOrEqual">
      <formula>$P$49</formula>
    </cfRule>
  </conditionalFormatting>
  <conditionalFormatting sqref="Q52:T52">
    <cfRule type="cellIs" dxfId="1673" priority="73" operator="greaterThanOrEqual">
      <formula>$P$51</formula>
    </cfRule>
    <cfRule type="cellIs" dxfId="1672" priority="74" operator="lessThan">
      <formula>$P$51</formula>
    </cfRule>
  </conditionalFormatting>
  <conditionalFormatting sqref="Q55:T56">
    <cfRule type="cellIs" dxfId="1671" priority="7" operator="greaterThan">
      <formula>100</formula>
    </cfRule>
    <cfRule type="cellIs" dxfId="1670" priority="11" operator="greaterThanOrEqual">
      <formula>0.0001</formula>
    </cfRule>
    <cfRule type="containsBlanks" dxfId="1669" priority="10" stopIfTrue="1">
      <formula>LEN(TRIM(Q55))=0</formula>
    </cfRule>
    <cfRule type="cellIs" dxfId="1668" priority="9" operator="lessThanOrEqual">
      <formula>0.1</formula>
    </cfRule>
    <cfRule type="cellIs" dxfId="1667" priority="8" operator="between">
      <formula>1</formula>
      <formula>100</formula>
    </cfRule>
  </conditionalFormatting>
  <conditionalFormatting sqref="R22:R23 R28:R29 R34:R35">
    <cfRule type="cellIs" dxfId="1666" priority="153" operator="greaterThanOrEqual">
      <formula>10000</formula>
    </cfRule>
    <cfRule type="cellIs" dxfId="1665" priority="154" operator="greaterThanOrEqual">
      <formula>10</formula>
    </cfRule>
    <cfRule type="cellIs" dxfId="1664" priority="155" operator="between">
      <formula>1</formula>
      <formula>9.999</formula>
    </cfRule>
    <cfRule type="cellIs" dxfId="1663" priority="156" operator="between">
      <formula>0.1</formula>
      <formula>0.999</formula>
    </cfRule>
    <cfRule type="cellIs" dxfId="1662" priority="157" operator="lessThanOrEqual">
      <formula>0.1</formula>
    </cfRule>
    <cfRule type="containsBlanks" dxfId="1661" priority="158" stopIfTrue="1">
      <formula>LEN(TRIM(R22))=0</formula>
    </cfRule>
    <cfRule type="cellIs" dxfId="1660" priority="159" operator="lessThan">
      <formula>$Q22</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62C6FF5-CD1A-4BCF-ACE2-AAF640A15BD4}">
          <x14:formula1>
            <xm:f>'List Values'!$B$4:$B$5</xm:f>
          </x14:formula1>
          <xm:sqref>C42:C43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AEDE-9980-4496-A0CB-FC32ACAB7B58}">
  <sheetPr codeName="Sheet6"/>
  <dimension ref="B1:V69"/>
  <sheetViews>
    <sheetView zoomScale="85" zoomScaleNormal="85" workbookViewId="0">
      <selection activeCell="T9" sqref="T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8" width="15.85546875" style="66" customWidth="1"/>
    <col min="9" max="13" width="12.85546875" style="66" customWidth="1"/>
    <col min="14" max="14" width="28.42578125" style="66" customWidth="1"/>
    <col min="15" max="18" width="14.85546875" style="66" customWidth="1"/>
    <col min="19" max="20" width="13.5703125" style="66" customWidth="1"/>
    <col min="21" max="16384" width="8.7109375" style="66"/>
  </cols>
  <sheetData>
    <row r="1" spans="2:22" ht="21" x14ac:dyDescent="0.35">
      <c r="C1" s="83" t="s">
        <v>1</v>
      </c>
    </row>
    <row r="2" spans="2:22" ht="21" x14ac:dyDescent="0.35">
      <c r="C2" s="83" t="s">
        <v>468</v>
      </c>
      <c r="T2" s="67"/>
    </row>
    <row r="3" spans="2:22" ht="15.75" x14ac:dyDescent="0.25">
      <c r="C3" s="67"/>
      <c r="T3" s="67"/>
    </row>
    <row r="4" spans="2:22" ht="21" x14ac:dyDescent="0.35">
      <c r="C4" s="84" t="s">
        <v>83</v>
      </c>
      <c r="D4" s="85"/>
      <c r="E4" s="85"/>
      <c r="F4" s="85"/>
      <c r="G4" s="85"/>
      <c r="H4" s="85"/>
      <c r="I4" s="85"/>
      <c r="J4" s="85"/>
      <c r="K4" s="85"/>
      <c r="L4" s="85"/>
      <c r="M4" s="85"/>
      <c r="N4" s="84" t="s">
        <v>29</v>
      </c>
      <c r="T4" s="67"/>
    </row>
    <row r="5" spans="2:22" ht="21" x14ac:dyDescent="0.35">
      <c r="C5" s="85"/>
      <c r="D5" s="85"/>
      <c r="E5" s="85"/>
      <c r="F5" s="85"/>
      <c r="G5" s="85"/>
      <c r="H5" s="85"/>
      <c r="I5" s="85"/>
      <c r="J5" s="85"/>
      <c r="K5" s="85"/>
      <c r="L5" s="85"/>
      <c r="M5" s="85"/>
      <c r="N5" s="83"/>
      <c r="T5" s="67"/>
    </row>
    <row r="6" spans="2:22" ht="21" x14ac:dyDescent="0.35">
      <c r="C6" s="83" t="s">
        <v>84</v>
      </c>
      <c r="D6" s="85"/>
      <c r="E6" s="85"/>
      <c r="F6" s="85"/>
      <c r="G6" s="85"/>
      <c r="H6" s="85"/>
      <c r="I6" s="85"/>
      <c r="J6" s="85"/>
      <c r="K6" s="85"/>
      <c r="L6" s="85"/>
      <c r="M6" s="85"/>
      <c r="N6" s="83" t="s">
        <v>84</v>
      </c>
      <c r="T6" s="67"/>
    </row>
    <row r="7" spans="2:22" ht="15.75" x14ac:dyDescent="0.25">
      <c r="C7" s="67"/>
      <c r="T7" s="67"/>
    </row>
    <row r="8" spans="2:22" ht="38.25" x14ac:dyDescent="0.25">
      <c r="C8" s="592" t="s">
        <v>85</v>
      </c>
      <c r="D8" s="593" t="s">
        <v>23</v>
      </c>
      <c r="E8" s="411" t="s">
        <v>86</v>
      </c>
      <c r="F8" s="411" t="s">
        <v>87</v>
      </c>
      <c r="G8" s="411" t="s">
        <v>88</v>
      </c>
      <c r="H8" s="411" t="s">
        <v>89</v>
      </c>
      <c r="I8" s="411" t="s">
        <v>90</v>
      </c>
      <c r="J8" s="291"/>
      <c r="K8" s="291"/>
      <c r="L8" s="291"/>
      <c r="M8" s="291"/>
      <c r="N8" s="592" t="s">
        <v>85</v>
      </c>
      <c r="O8" s="592" t="s">
        <v>23</v>
      </c>
      <c r="P8" s="411" t="s">
        <v>91</v>
      </c>
      <c r="Q8" s="411" t="s">
        <v>92</v>
      </c>
      <c r="R8" s="411" t="s">
        <v>93</v>
      </c>
      <c r="S8" s="411" t="s">
        <v>94</v>
      </c>
      <c r="T8" s="411" t="s">
        <v>95</v>
      </c>
      <c r="V8" s="67"/>
    </row>
    <row r="9" spans="2:22" ht="27" x14ac:dyDescent="0.25">
      <c r="C9" s="592"/>
      <c r="D9" s="593"/>
      <c r="E9" s="411" t="s">
        <v>150</v>
      </c>
      <c r="F9" s="411" t="s">
        <v>151</v>
      </c>
      <c r="G9" s="411" t="s">
        <v>152</v>
      </c>
      <c r="H9" s="411" t="s">
        <v>152</v>
      </c>
      <c r="I9" s="411" t="s">
        <v>153</v>
      </c>
      <c r="J9" s="291"/>
      <c r="K9" s="291"/>
      <c r="L9" s="291"/>
      <c r="M9" s="291"/>
      <c r="N9" s="592"/>
      <c r="O9" s="592"/>
      <c r="P9" s="411" t="s">
        <v>100</v>
      </c>
      <c r="Q9" s="411" t="s">
        <v>154</v>
      </c>
      <c r="R9" s="411" t="s">
        <v>503</v>
      </c>
      <c r="S9" s="411" t="s">
        <v>155</v>
      </c>
      <c r="T9" s="411" t="s">
        <v>504</v>
      </c>
      <c r="V9" s="67"/>
    </row>
    <row r="10" spans="2:22" ht="15.75" x14ac:dyDescent="0.25">
      <c r="C10" s="88" t="s">
        <v>30</v>
      </c>
      <c r="D10" s="594" t="s">
        <v>103</v>
      </c>
      <c r="E10" s="316">
        <f>INDEX('Inhalation Exposures'!$I$7:$I$74, MATCH('1,1-DCA_test order_OP'!$C$2, 'Inhalation Exposures'!$A$7:$A$74, 0))</f>
        <v>9.0095833333333295E-3</v>
      </c>
      <c r="F10" s="316">
        <f>INDEX('Inhalation Exposures'!K$7:$K$74, MATCH('1,1-DCA_test order_OP'!$C$2, 'Inhalation Exposures'!$A$7:$A$74, 0))</f>
        <v>6.1289682539682521E-3</v>
      </c>
      <c r="G10" s="316">
        <f>INDEX('Inhalation Exposures'!$M7:$M74, MATCH('1,1-DCA_test order_OP'!$C$2, 'Inhalation Exposures'!$A$7:$A$74, 0))</f>
        <v>4.4945767195767178E-3</v>
      </c>
      <c r="H10" s="316">
        <f>INDEX('Inhalation Exposures'!$O$7:$O$74, MATCH('1,1-DCA_test order_OP'!$C$2, 'Inhalation Exposures'!$A$7:$A$74, 0))</f>
        <v>4.1979234616220905E-3</v>
      </c>
      <c r="I10" s="316">
        <f>INDEX('Inhalation Exposures'!$Q$7:$Q$74, MATCH('1,1-DCA_test order_OP'!$C$2, 'Inhalation Exposures'!$A$7:$A$74, 0))</f>
        <v>2.1527812623703029E-3</v>
      </c>
      <c r="J10" s="329"/>
      <c r="K10" s="329"/>
      <c r="L10" s="329"/>
      <c r="M10" s="329"/>
      <c r="N10" s="595" t="s">
        <v>104</v>
      </c>
      <c r="O10" s="412" t="s">
        <v>103</v>
      </c>
      <c r="P10" s="316">
        <f>INDEX('Dermal Exposures'!$J$5:$J$34, MATCH('1,1-DCA_test order_OP'!$C$2, 'Dermal Exposures'!$A$5:$A$34, 0))</f>
        <v>1.9616309999999998E-2</v>
      </c>
      <c r="Q10" s="316">
        <f>INDEX('Dermal Exposures'!$K$5:$K$34, MATCH('1,1-DCA_test order_OP'!$C$2, 'Dermal Exposures'!$A$5:$A$34, 0))</f>
        <v>2.4520387499999996E-4</v>
      </c>
      <c r="R10" s="316">
        <f>INDEX('Dermal Exposures'!$L$5:$L$34, MATCH('1,1-DCA_test order_OP'!$C$2, 'Dermal Exposures'!$A$5:$A$34, 0))</f>
        <v>1.7981617499999997E-4</v>
      </c>
      <c r="S10" s="316">
        <f>INDEX('Dermal Exposures'!$M$5:$M$34, MATCH('1,1-DCA_test order_OP'!$C$2, 'Dermal Exposures'!$A$5:$A$34, 0))</f>
        <v>1.6794785958904108E-4</v>
      </c>
      <c r="T10" s="316">
        <f>INDEX('Dermal Exposures'!$N$5:$N$34, MATCH('1,1-DCA_test order_OP'!$C$2, 'Dermal Exposures'!$A$5:$A$34, 0))</f>
        <v>8.6127107481559525E-5</v>
      </c>
      <c r="V10" s="67"/>
    </row>
    <row r="11" spans="2:22" ht="15.75" x14ac:dyDescent="0.25">
      <c r="C11" s="88" t="s">
        <v>28</v>
      </c>
      <c r="D11" s="594"/>
      <c r="E11" s="316">
        <f>INDEX('Inhalation Exposures'!$I$20:$I$81, MATCH('1,1-DCA_test order_OP'!$C$2, 'Inhalation Exposures'!$A$20:$A$81, 0))</f>
        <v>4.5661979166666672E-3</v>
      </c>
      <c r="F11" s="316">
        <f>INDEX('Inhalation Exposures'!$K$20:$K$81, MATCH('1,1-DCA_test order_OP'!$C$2, 'Inhalation Exposures'!$A$20:$A$81, 0))</f>
        <v>3.106257086167801E-3</v>
      </c>
      <c r="G11" s="316">
        <f>INDEX('Inhalation Exposures'!$M$20:$M$81, MATCH('1,1-DCA_test order_OP'!$C$2, 'Inhalation Exposures'!$A$20:$A$81, 0))</f>
        <v>2.2779218631897207E-3</v>
      </c>
      <c r="H11" s="316">
        <f>INDEX('Inhalation Exposures'!$O$20:$O$81, MATCH('1,1-DCA_test order_OP'!$C$2, 'Inhalation Exposures'!$A$20:$A$81, 0))</f>
        <v>2.1275733466902744E-3</v>
      </c>
      <c r="I11" s="316">
        <f>INDEX('Inhalation Exposures'!$Q$20:$Q$81, MATCH('1,1-DCA_test order_OP'!$C$2, 'Inhalation Exposures'!$A$20:$A$81, 0))</f>
        <v>1.0910632547129612E-3</v>
      </c>
      <c r="J11" s="329"/>
      <c r="K11" s="329"/>
      <c r="L11" s="329"/>
      <c r="M11" s="329"/>
      <c r="N11" s="595"/>
      <c r="O11" s="412" t="s">
        <v>27</v>
      </c>
      <c r="P11" s="316">
        <f>INDEX('Dermal Exposures'!$O$5:$O$34, MATCH('1,1-DCA_test order_OP'!$C$2, 'Dermal Exposures'!$A$5:$A$34, 0))</f>
        <v>6.5387699999999993E-3</v>
      </c>
      <c r="Q11" s="316">
        <f>INDEX('Dermal Exposures'!$P$5:$P$34, MATCH('1,1-DCA_test order_OP'!$C$2, 'Dermal Exposures'!$A$5:$A$34, 0))</f>
        <v>8.1734624999999997E-5</v>
      </c>
      <c r="R11" s="316">
        <f>INDEX('Dermal Exposures'!$Q$5:$Q$34, MATCH('1,1-DCA_test order_OP'!$C$2, 'Dermal Exposures'!$A$5:$A$34, 0))</f>
        <v>5.9938724999999998E-5</v>
      </c>
      <c r="S11" s="316">
        <f>INDEX('Dermal Exposures'!$R$5:$R$34, MATCH('1,1-DCA_test order_OP'!$C$2, 'Dermal Exposures'!$A$5:$A$34, 0))</f>
        <v>5.5982619863013688E-5</v>
      </c>
      <c r="T11" s="316">
        <f>INDEX('Dermal Exposures'!$S$5:$S$34, MATCH('1,1-DCA_test order_OP'!$C$2, 'Dermal Exposures'!$A$5:$A$34, 0))</f>
        <v>2.2249502766069543E-5</v>
      </c>
      <c r="V11" s="67"/>
    </row>
    <row r="12" spans="2:22" ht="15.75" x14ac:dyDescent="0.25">
      <c r="C12" s="88" t="s">
        <v>30</v>
      </c>
      <c r="D12" s="591" t="s">
        <v>27</v>
      </c>
      <c r="E12" s="316">
        <f>INDEX('Inhalation Exposures'!$J$7:$J$74, MATCH('1,1-DCA_test order_OP'!$C$2, 'Inhalation Exposures'!$A$7:$A$74, 0))</f>
        <v>1.55833333333333E-3</v>
      </c>
      <c r="F12" s="316">
        <f>INDEX('Inhalation Exposures'!L$7:$L$74, MATCH('1,1-DCA_test order_OP'!$C$2, 'Inhalation Exposures'!$A$7:$A$74, 0))</f>
        <v>1.0600907029478437E-3</v>
      </c>
      <c r="G12" s="316">
        <f>INDEX('Inhalation Exposures'!$N$7:$N$74, MATCH('1,1-DCA_test order_OP'!$C$2, 'Inhalation Exposures'!$A$7:$A$74, 0))</f>
        <v>7.7739984882841859E-4</v>
      </c>
      <c r="H12" s="316">
        <f>INDEX('Inhalation Exposures'!$P$7:$P$74, MATCH('1,1-DCA_test order_OP'!$C$2, 'Inhalation Exposures'!$A$7:$A$74, 0))</f>
        <v>7.260895225670161E-4</v>
      </c>
      <c r="I12" s="316">
        <f>INDEX('Inhalation Exposures'!$R$7:$R$74, MATCH('1,1-DCA_test order_OP'!$C$2, 'Inhalation Exposures'!$A$7:$A$74, 0))</f>
        <v>2.8857404102022437E-4</v>
      </c>
      <c r="J12" s="329"/>
      <c r="K12" s="329"/>
      <c r="L12" s="329"/>
      <c r="M12" s="329"/>
      <c r="N12" s="565" t="str">
        <f>_xlfn.CONCAT("Worker with Gloves; 
PF of ",'List Values'!$B$16)</f>
        <v>Worker with Gloves; 
PF of 5</v>
      </c>
      <c r="O12" s="71" t="s">
        <v>103</v>
      </c>
      <c r="P12" s="316">
        <f>P10/'List Values'!$B$16</f>
        <v>3.9232619999999994E-3</v>
      </c>
      <c r="Q12" s="316">
        <f>Q10/'List Values'!$B$16</f>
        <v>4.9040774999999991E-5</v>
      </c>
      <c r="R12" s="316">
        <f>R10/'List Values'!$B$16</f>
        <v>3.596323499999999E-5</v>
      </c>
      <c r="S12" s="316">
        <f>S10/'List Values'!$B$16</f>
        <v>3.3589571917808217E-5</v>
      </c>
      <c r="T12" s="316">
        <f>T10/'List Values'!$B$16</f>
        <v>1.7225421496311905E-5</v>
      </c>
      <c r="U12" s="67"/>
    </row>
    <row r="13" spans="2:22" ht="15.75" x14ac:dyDescent="0.25">
      <c r="C13" s="88" t="s">
        <v>28</v>
      </c>
      <c r="D13" s="591"/>
      <c r="E13" s="316">
        <f>INDEX('Inhalation Exposures'!$J$20:$J$81, MATCH('1,1-DCA_test order_OP'!$C$2, 'Inhalation Exposures'!$A$20:$A$81, 0))</f>
        <v>6.9401041666666667E-5</v>
      </c>
      <c r="F13" s="316">
        <f>INDEX('Inhalation Exposures'!$L$20:$L$81, MATCH('1,1-DCA_test order_OP'!$C$2, 'Inhalation Exposures'!$A$20:$A$81, 0))</f>
        <v>4.721159297052154E-5</v>
      </c>
      <c r="G13" s="316">
        <f>INDEX('Inhalation Exposures'!$N$20:$N$81, MATCH('1,1-DCA_test order_OP'!$C$2, 'Inhalation Exposures'!$A$20:$A$81, 0))</f>
        <v>3.4621834845049136E-5</v>
      </c>
      <c r="H13" s="316">
        <f>INDEX('Inhalation Exposures'!$P$20:$P$81, MATCH('1,1-DCA_test order_OP'!$C$2, 'Inhalation Exposures'!$A$20:$A$81, 0))</f>
        <v>3.233670751405585E-5</v>
      </c>
      <c r="I13" s="316">
        <f>INDEX('Inhalation Exposures'!$R$20:$R$81, MATCH('1,1-DCA_test order_OP'!$C$2, 'Inhalation Exposures'!$A$20:$A$81, 0))</f>
        <v>1.2851768370970914E-5</v>
      </c>
      <c r="J13" s="329"/>
      <c r="K13" s="329"/>
      <c r="L13" s="329"/>
      <c r="M13" s="329"/>
      <c r="N13" s="565"/>
      <c r="O13" s="71" t="s">
        <v>27</v>
      </c>
      <c r="P13" s="316">
        <f>P11/'List Values'!$B$16</f>
        <v>1.3077539999999999E-3</v>
      </c>
      <c r="Q13" s="316">
        <f>Q11/'List Values'!$B$16</f>
        <v>1.6346924999999999E-5</v>
      </c>
      <c r="R13" s="316">
        <f>R11/'List Values'!$B$16</f>
        <v>1.1987745E-5</v>
      </c>
      <c r="S13" s="316">
        <f>S11/'List Values'!$B$16</f>
        <v>1.1196523972602737E-5</v>
      </c>
      <c r="T13" s="316">
        <f>T11/'List Values'!$B$16</f>
        <v>4.449900553213909E-6</v>
      </c>
      <c r="U13" s="67"/>
    </row>
    <row r="14" spans="2:22" x14ac:dyDescent="0.2">
      <c r="N14" s="565" t="str">
        <f>_xlfn.CONCAT("Worker with Gloves; 
PF of ",'List Values'!$B$17)</f>
        <v>Worker with Gloves; 
PF of 10</v>
      </c>
      <c r="O14" s="71" t="s">
        <v>103</v>
      </c>
      <c r="P14" s="316">
        <f>P10/'List Values'!$B$17</f>
        <v>1.9616309999999997E-3</v>
      </c>
      <c r="Q14" s="316">
        <f>Q10/'List Values'!$B$17</f>
        <v>2.4520387499999996E-5</v>
      </c>
      <c r="R14" s="316">
        <f>R10/'List Values'!$B$17</f>
        <v>1.7981617499999995E-5</v>
      </c>
      <c r="S14" s="316">
        <f>S10/'List Values'!$B$17</f>
        <v>1.6794785958904108E-5</v>
      </c>
      <c r="T14" s="316">
        <f>T10/'List Values'!$B$17</f>
        <v>8.6127107481559525E-6</v>
      </c>
    </row>
    <row r="15" spans="2:22" ht="21" x14ac:dyDescent="0.35">
      <c r="C15" s="83" t="s">
        <v>105</v>
      </c>
      <c r="N15" s="565"/>
      <c r="O15" s="71" t="s">
        <v>27</v>
      </c>
      <c r="P15" s="316">
        <f>P11/'List Values'!$B$17</f>
        <v>6.5387699999999997E-4</v>
      </c>
      <c r="Q15" s="316">
        <f>Q11/'List Values'!$B$17</f>
        <v>8.1734624999999997E-6</v>
      </c>
      <c r="R15" s="316">
        <f>R11/'List Values'!$B$17</f>
        <v>5.9938725000000001E-6</v>
      </c>
      <c r="S15" s="316">
        <f>S11/'List Values'!$B$17</f>
        <v>5.5982619863013686E-6</v>
      </c>
      <c r="T15" s="316">
        <f>T11/'List Values'!$B$17</f>
        <v>2.2249502766069545E-6</v>
      </c>
    </row>
    <row r="16" spans="2:22" ht="28.5" customHeight="1" x14ac:dyDescent="0.2">
      <c r="B16" s="70"/>
      <c r="C16" s="568" t="s">
        <v>106</v>
      </c>
      <c r="D16" s="568" t="s">
        <v>107</v>
      </c>
      <c r="E16" s="568" t="s">
        <v>23</v>
      </c>
      <c r="F16" s="568" t="s">
        <v>108</v>
      </c>
      <c r="G16" s="568" t="s">
        <v>109</v>
      </c>
      <c r="H16" s="568"/>
      <c r="I16" s="90"/>
      <c r="J16" s="90"/>
      <c r="K16" s="90"/>
      <c r="L16" s="90"/>
      <c r="M16" s="90"/>
      <c r="N16" s="565" t="str">
        <f>_xlfn.CONCAT("Worker with Gloves; 
PF of ",'List Values'!$B$18)</f>
        <v>Worker with Gloves; 
PF of 20</v>
      </c>
      <c r="O16" s="71" t="s">
        <v>103</v>
      </c>
      <c r="P16" s="316">
        <f>P10/'List Values'!$B$18</f>
        <v>9.8081549999999985E-4</v>
      </c>
      <c r="Q16" s="316">
        <f>Q10/'List Values'!$B$18</f>
        <v>1.2260193749999998E-5</v>
      </c>
      <c r="R16" s="316">
        <f>R10/'List Values'!$B$18</f>
        <v>8.9908087499999976E-6</v>
      </c>
      <c r="S16" s="316">
        <f>S10/'List Values'!$B$18</f>
        <v>8.3973929794520542E-6</v>
      </c>
      <c r="T16" s="316">
        <f>T10/'List Values'!$B$18</f>
        <v>4.3063553740779762E-6</v>
      </c>
    </row>
    <row r="17" spans="2:20" ht="26.1" customHeight="1" x14ac:dyDescent="0.2">
      <c r="B17" s="70"/>
      <c r="C17" s="568"/>
      <c r="D17" s="568"/>
      <c r="E17" s="568"/>
      <c r="F17" s="568"/>
      <c r="G17" s="413" t="s">
        <v>110</v>
      </c>
      <c r="H17" s="413" t="s">
        <v>111</v>
      </c>
      <c r="I17" s="90"/>
      <c r="J17" s="90"/>
      <c r="K17" s="90"/>
      <c r="L17" s="90"/>
      <c r="M17" s="90"/>
      <c r="N17" s="565"/>
      <c r="O17" s="71" t="s">
        <v>27</v>
      </c>
      <c r="P17" s="316">
        <f>P11/'List Values'!$B$18</f>
        <v>3.2693849999999999E-4</v>
      </c>
      <c r="Q17" s="316">
        <f>Q11/'List Values'!$B$18</f>
        <v>4.0867312499999998E-6</v>
      </c>
      <c r="R17" s="316">
        <f>R11/'List Values'!$B$18</f>
        <v>2.99693625E-6</v>
      </c>
      <c r="S17" s="316">
        <f>S11/'List Values'!$B$18</f>
        <v>2.7991309931506843E-6</v>
      </c>
      <c r="T17" s="316">
        <f>T11/'List Values'!$B$18</f>
        <v>1.1124751383034773E-6</v>
      </c>
    </row>
    <row r="18" spans="2:20" ht="27.6" customHeight="1" x14ac:dyDescent="0.2">
      <c r="B18" s="70"/>
      <c r="C18" s="587" t="s">
        <v>112</v>
      </c>
      <c r="D18" s="580">
        <f>INDEX('Health Data'!$G:$G,MATCH($C$2,'Health Data'!$B:$B,0))</f>
        <v>2.4163399353274051</v>
      </c>
      <c r="E18" s="71" t="s">
        <v>103</v>
      </c>
      <c r="F18" s="412">
        <v>30</v>
      </c>
      <c r="G18" s="102">
        <f>D18/$F$10</f>
        <v>394.24905387018856</v>
      </c>
      <c r="H18" s="102">
        <f>D18/$F$11</f>
        <v>777.89438166190268</v>
      </c>
      <c r="I18" s="77"/>
      <c r="J18" s="77"/>
      <c r="K18" s="77"/>
      <c r="L18" s="77"/>
      <c r="M18" s="77"/>
    </row>
    <row r="19" spans="2:20" ht="25.5" customHeight="1" x14ac:dyDescent="0.35">
      <c r="B19" s="70"/>
      <c r="C19" s="588"/>
      <c r="D19" s="555"/>
      <c r="E19" s="71" t="s">
        <v>27</v>
      </c>
      <c r="F19" s="412">
        <v>30</v>
      </c>
      <c r="G19" s="101">
        <f>D18/$F$12</f>
        <v>2279.3709336457491</v>
      </c>
      <c r="H19" s="102">
        <f>D18/$F$13</f>
        <v>51181.071920961112</v>
      </c>
      <c r="I19" s="77"/>
      <c r="J19" s="77"/>
      <c r="K19" s="77"/>
      <c r="L19" s="77"/>
      <c r="M19" s="77"/>
      <c r="N19" s="83" t="s">
        <v>113</v>
      </c>
    </row>
    <row r="20" spans="2:20"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20" ht="25.5" customHeight="1" x14ac:dyDescent="0.2">
      <c r="B21" s="73"/>
      <c r="C21" s="98" t="s">
        <v>115</v>
      </c>
      <c r="D21" s="96"/>
      <c r="E21" s="76"/>
      <c r="F21" s="75"/>
      <c r="G21" s="77"/>
      <c r="H21" s="77"/>
      <c r="I21" s="77"/>
      <c r="J21" s="77"/>
      <c r="K21" s="77"/>
      <c r="L21" s="77"/>
      <c r="M21" s="77"/>
      <c r="N21" s="571"/>
      <c r="O21" s="571"/>
      <c r="P21" s="571"/>
      <c r="Q21" s="571"/>
      <c r="R21" s="422" t="s">
        <v>116</v>
      </c>
    </row>
    <row r="22" spans="2:20" ht="25.5" customHeight="1" x14ac:dyDescent="0.2">
      <c r="B22" s="73"/>
      <c r="C22" s="568" t="s">
        <v>106</v>
      </c>
      <c r="D22" s="568" t="s">
        <v>107</v>
      </c>
      <c r="E22" s="569" t="s">
        <v>23</v>
      </c>
      <c r="F22" s="568" t="s">
        <v>108</v>
      </c>
      <c r="G22" s="568" t="s">
        <v>117</v>
      </c>
      <c r="H22" s="568"/>
      <c r="I22" s="77"/>
      <c r="J22" s="77"/>
      <c r="K22" s="77"/>
      <c r="L22" s="77"/>
      <c r="M22" s="77"/>
      <c r="N22" s="587" t="s">
        <v>118</v>
      </c>
      <c r="O22" s="589">
        <f>INDEX('Health Data'!$K:$K,MATCH($C$2,'Health Data'!$B:$B,0))</f>
        <v>19.899999999999999</v>
      </c>
      <c r="P22" s="72" t="s">
        <v>103</v>
      </c>
      <c r="Q22" s="412">
        <v>30</v>
      </c>
      <c r="R22" s="101">
        <f>O22/Q10</f>
        <v>81156.955614995895</v>
      </c>
    </row>
    <row r="23" spans="2:20" ht="25.5" customHeight="1" x14ac:dyDescent="0.2">
      <c r="B23" s="73"/>
      <c r="C23" s="582"/>
      <c r="D23" s="582"/>
      <c r="E23" s="586"/>
      <c r="F23" s="582"/>
      <c r="G23" s="415" t="s">
        <v>110</v>
      </c>
      <c r="H23" s="415" t="s">
        <v>111</v>
      </c>
      <c r="I23" s="77"/>
      <c r="J23" s="77"/>
      <c r="K23" s="77"/>
      <c r="L23" s="77"/>
      <c r="M23" s="77"/>
      <c r="N23" s="588"/>
      <c r="O23" s="590"/>
      <c r="P23" s="72" t="s">
        <v>27</v>
      </c>
      <c r="Q23" s="412">
        <v>30</v>
      </c>
      <c r="R23" s="101">
        <f>O22/Q11</f>
        <v>243470.86684498767</v>
      </c>
    </row>
    <row r="24" spans="2:20" ht="25.5" customHeight="1" x14ac:dyDescent="0.2">
      <c r="B24" s="73"/>
      <c r="C24" s="577" t="s">
        <v>149</v>
      </c>
      <c r="D24" s="598">
        <v>22</v>
      </c>
      <c r="E24" s="71" t="s">
        <v>103</v>
      </c>
      <c r="F24" s="412">
        <v>30</v>
      </c>
      <c r="G24" s="419">
        <f>D24/$G$10</f>
        <v>4894.7879572677257</v>
      </c>
      <c r="H24" s="419">
        <f>D24/$G$11</f>
        <v>9657.925653865017</v>
      </c>
      <c r="I24" s="77"/>
      <c r="J24" s="77"/>
      <c r="K24" s="77"/>
      <c r="L24" s="77"/>
      <c r="M24" s="77"/>
      <c r="N24" s="74"/>
      <c r="O24" s="75"/>
      <c r="P24" s="81"/>
      <c r="Q24" s="75"/>
      <c r="R24" s="77"/>
    </row>
    <row r="25" spans="2:20" ht="25.5" customHeight="1" thickBot="1" x14ac:dyDescent="0.25">
      <c r="B25" s="73"/>
      <c r="C25" s="577"/>
      <c r="D25" s="598"/>
      <c r="E25" s="71" t="s">
        <v>27</v>
      </c>
      <c r="F25" s="412">
        <v>30</v>
      </c>
      <c r="G25" s="419">
        <f>D24/$G$12</f>
        <v>28299.465240641774</v>
      </c>
      <c r="H25" s="419">
        <f>D24/$G$13</f>
        <v>635437.14821763593</v>
      </c>
      <c r="I25" s="77"/>
      <c r="J25" s="77"/>
      <c r="K25" s="77"/>
      <c r="L25" s="77"/>
      <c r="M25" s="77"/>
      <c r="N25" s="97" t="s">
        <v>120</v>
      </c>
      <c r="O25" s="75"/>
      <c r="P25" s="81"/>
      <c r="Q25" s="75"/>
      <c r="R25" s="77"/>
    </row>
    <row r="26" spans="2:20" ht="38.25" x14ac:dyDescent="0.2">
      <c r="B26" s="73"/>
      <c r="C26" s="74"/>
      <c r="D26" s="96"/>
      <c r="E26" s="76"/>
      <c r="F26" s="75"/>
      <c r="G26" s="77"/>
      <c r="H26" s="77"/>
      <c r="I26" s="77"/>
      <c r="J26" s="77"/>
      <c r="K26" s="77"/>
      <c r="L26" s="77"/>
      <c r="M26" s="77"/>
      <c r="N26" s="568" t="s">
        <v>106</v>
      </c>
      <c r="O26" s="568" t="s">
        <v>121</v>
      </c>
      <c r="P26" s="569" t="s">
        <v>23</v>
      </c>
      <c r="Q26" s="568" t="s">
        <v>108</v>
      </c>
      <c r="R26" s="413" t="s">
        <v>117</v>
      </c>
    </row>
    <row r="27" spans="2:20" s="85" customFormat="1" ht="25.5" x14ac:dyDescent="0.35">
      <c r="B27" s="83"/>
      <c r="C27" s="83" t="s">
        <v>122</v>
      </c>
      <c r="F27" s="86"/>
      <c r="N27" s="568"/>
      <c r="O27" s="568"/>
      <c r="P27" s="569"/>
      <c r="Q27" s="568"/>
      <c r="R27" s="413" t="s">
        <v>116</v>
      </c>
      <c r="S27" s="66"/>
      <c r="T27" s="66"/>
    </row>
    <row r="28" spans="2:20" ht="26.1" customHeight="1" x14ac:dyDescent="0.2">
      <c r="B28" s="79"/>
      <c r="C28" s="568" t="s">
        <v>106</v>
      </c>
      <c r="D28" s="568" t="s">
        <v>107</v>
      </c>
      <c r="E28" s="568" t="s">
        <v>23</v>
      </c>
      <c r="F28" s="568" t="s">
        <v>108</v>
      </c>
      <c r="G28" s="568" t="s">
        <v>123</v>
      </c>
      <c r="H28" s="568"/>
      <c r="I28" s="90"/>
      <c r="J28" s="90"/>
      <c r="K28" s="90"/>
      <c r="L28" s="90"/>
      <c r="M28" s="90"/>
      <c r="N28" s="579" t="s">
        <v>124</v>
      </c>
      <c r="O28" s="580">
        <f>INDEX('Health Data'!$T:$T,MATCH($C$2,'Health Data'!$B:$B,0))</f>
        <v>6.5</v>
      </c>
      <c r="P28" s="72" t="s">
        <v>103</v>
      </c>
      <c r="Q28" s="412">
        <v>30</v>
      </c>
      <c r="R28" s="107">
        <f>O28/$R$10</f>
        <v>36148.02728397488</v>
      </c>
    </row>
    <row r="29" spans="2:20" x14ac:dyDescent="0.2">
      <c r="B29" s="79"/>
      <c r="C29" s="568"/>
      <c r="D29" s="568"/>
      <c r="E29" s="568"/>
      <c r="F29" s="568"/>
      <c r="G29" s="413" t="s">
        <v>110</v>
      </c>
      <c r="H29" s="413" t="s">
        <v>111</v>
      </c>
      <c r="I29" s="90"/>
      <c r="J29" s="90"/>
      <c r="K29" s="90"/>
      <c r="L29" s="90"/>
      <c r="M29" s="90"/>
      <c r="N29" s="579"/>
      <c r="O29" s="555"/>
      <c r="P29" s="72" t="s">
        <v>27</v>
      </c>
      <c r="Q29" s="412">
        <v>30</v>
      </c>
      <c r="R29" s="107">
        <f>O28/$R$11</f>
        <v>108444.08185192461</v>
      </c>
    </row>
    <row r="30" spans="2:20" ht="33" customHeight="1" x14ac:dyDescent="0.2">
      <c r="B30" s="79"/>
      <c r="C30" s="577" t="s">
        <v>149</v>
      </c>
      <c r="D30" s="578">
        <f>INDEX('Health Data'!$P:$P,MATCH($C$2,'Health Data'!$B:$B,0))</f>
        <v>5.2378738884397729</v>
      </c>
      <c r="E30" s="72" t="s">
        <v>103</v>
      </c>
      <c r="F30" s="412">
        <v>300</v>
      </c>
      <c r="G30" s="419">
        <f>D30/$H$10</f>
        <v>1247.7297255000076</v>
      </c>
      <c r="H30" s="419">
        <f>D30/$H$11</f>
        <v>2461.9005011451136</v>
      </c>
      <c r="I30" s="77"/>
      <c r="J30" s="77"/>
      <c r="K30" s="77"/>
      <c r="L30" s="77"/>
      <c r="M30" s="77"/>
      <c r="N30" s="74"/>
      <c r="O30" s="75"/>
      <c r="P30" s="81"/>
      <c r="Q30" s="75"/>
      <c r="R30" s="77"/>
    </row>
    <row r="31" spans="2:20" ht="33" customHeight="1" x14ac:dyDescent="0.35">
      <c r="B31" s="79"/>
      <c r="C31" s="577"/>
      <c r="D31" s="559"/>
      <c r="E31" s="72" t="s">
        <v>27</v>
      </c>
      <c r="F31" s="412">
        <v>300</v>
      </c>
      <c r="G31" s="419">
        <f>D30/$H$12</f>
        <v>7213.8127953173034</v>
      </c>
      <c r="H31" s="419">
        <f>D30/$H$13</f>
        <v>161979.19612449777</v>
      </c>
      <c r="I31" s="77"/>
      <c r="J31" s="77"/>
      <c r="K31" s="77"/>
      <c r="L31" s="77"/>
      <c r="M31" s="77"/>
      <c r="N31" s="83" t="s">
        <v>125</v>
      </c>
      <c r="O31" s="85"/>
      <c r="P31" s="85"/>
      <c r="Q31" s="85"/>
      <c r="R31" s="85"/>
      <c r="S31" s="85"/>
      <c r="T31" s="85"/>
    </row>
    <row r="32" spans="2:20" ht="25.5" x14ac:dyDescent="0.2">
      <c r="B32" s="79"/>
      <c r="C32" s="80"/>
      <c r="D32" s="75"/>
      <c r="E32" s="81"/>
      <c r="F32" s="75"/>
      <c r="G32" s="77"/>
      <c r="H32" s="77"/>
      <c r="I32" s="77"/>
      <c r="J32" s="77"/>
      <c r="K32" s="77"/>
      <c r="L32" s="77"/>
      <c r="M32" s="77"/>
      <c r="N32" s="566" t="s">
        <v>106</v>
      </c>
      <c r="O32" s="566" t="s">
        <v>121</v>
      </c>
      <c r="P32" s="566" t="s">
        <v>23</v>
      </c>
      <c r="Q32" s="566" t="s">
        <v>108</v>
      </c>
      <c r="R32" s="411" t="s">
        <v>123</v>
      </c>
    </row>
    <row r="33" spans="2:20" ht="33" customHeight="1" x14ac:dyDescent="0.35">
      <c r="B33" s="79"/>
      <c r="C33" s="83" t="s">
        <v>126</v>
      </c>
      <c r="D33" s="85"/>
      <c r="E33" s="85"/>
      <c r="F33" s="85"/>
      <c r="G33" s="85"/>
      <c r="H33" s="85"/>
      <c r="I33" s="77"/>
      <c r="J33" s="77"/>
      <c r="K33" s="77"/>
      <c r="L33" s="77"/>
      <c r="M33" s="77"/>
      <c r="N33" s="581"/>
      <c r="O33" s="567"/>
      <c r="P33" s="567"/>
      <c r="Q33" s="567"/>
      <c r="R33" s="411" t="s">
        <v>116</v>
      </c>
    </row>
    <row r="34" spans="2:20" ht="33" customHeight="1" x14ac:dyDescent="0.2">
      <c r="B34" s="79"/>
      <c r="C34" s="582" t="s">
        <v>127</v>
      </c>
      <c r="D34" s="566" t="s">
        <v>128</v>
      </c>
      <c r="E34" s="566" t="s">
        <v>23</v>
      </c>
      <c r="F34" s="583" t="s">
        <v>129</v>
      </c>
      <c r="G34" s="568" t="s">
        <v>130</v>
      </c>
      <c r="H34" s="568"/>
      <c r="I34" s="77"/>
      <c r="J34" s="77"/>
      <c r="K34" s="77"/>
      <c r="L34" s="77"/>
      <c r="M34" s="77"/>
      <c r="N34" s="579" t="s">
        <v>124</v>
      </c>
      <c r="O34" s="580">
        <f>INDEX('Health Data'!$T:$T,MATCH($C$2,'Health Data'!$B:$B,0))</f>
        <v>6.5</v>
      </c>
      <c r="P34" s="72" t="s">
        <v>103</v>
      </c>
      <c r="Q34" s="412">
        <v>300</v>
      </c>
      <c r="R34" s="107">
        <f>O34/$S$10</f>
        <v>38702.4878787091</v>
      </c>
    </row>
    <row r="35" spans="2:20" ht="33" customHeight="1" x14ac:dyDescent="0.2">
      <c r="B35" s="79"/>
      <c r="C35" s="530"/>
      <c r="D35" s="567"/>
      <c r="E35" s="567"/>
      <c r="F35" s="584"/>
      <c r="G35" s="413" t="s">
        <v>131</v>
      </c>
      <c r="H35" s="413" t="s">
        <v>28</v>
      </c>
      <c r="I35" s="77"/>
      <c r="J35" s="77"/>
      <c r="K35" s="77"/>
      <c r="L35" s="77"/>
      <c r="M35" s="77"/>
      <c r="N35" s="579"/>
      <c r="O35" s="555"/>
      <c r="P35" s="72" t="s">
        <v>27</v>
      </c>
      <c r="Q35" s="412">
        <v>300</v>
      </c>
      <c r="R35" s="107">
        <f>O34/$S$11</f>
        <v>116107.4636361273</v>
      </c>
    </row>
    <row r="36" spans="2:20" ht="33" customHeight="1" x14ac:dyDescent="0.2">
      <c r="B36" s="79"/>
      <c r="C36" s="572" t="s">
        <v>132</v>
      </c>
      <c r="D36" s="574">
        <f>INDEX('Health Data'!$Y:$Y,MATCH($C$2,'Health Data'!$B:$B,0))</f>
        <v>2.8736850715746418E-2</v>
      </c>
      <c r="E36" s="71" t="s">
        <v>103</v>
      </c>
      <c r="F36" s="107">
        <v>1E-4</v>
      </c>
      <c r="G36" s="103">
        <f>I10*D36</f>
        <v>6.186415376039152E-5</v>
      </c>
      <c r="H36" s="104">
        <f>I11*D36</f>
        <v>3.1353721872122776E-5</v>
      </c>
      <c r="I36" s="77"/>
      <c r="J36" s="77"/>
      <c r="K36" s="77"/>
      <c r="L36" s="77"/>
      <c r="M36" s="77"/>
    </row>
    <row r="37" spans="2:20" ht="33" customHeight="1" x14ac:dyDescent="0.35">
      <c r="B37" s="79"/>
      <c r="C37" s="573"/>
      <c r="D37" s="575"/>
      <c r="E37" s="71" t="s">
        <v>27</v>
      </c>
      <c r="F37" s="107">
        <v>1E-4</v>
      </c>
      <c r="G37" s="105">
        <f>I12*D36</f>
        <v>8.2927091372378712E-6</v>
      </c>
      <c r="H37" s="104">
        <f>I13*D36</f>
        <v>3.693193491099427E-7</v>
      </c>
      <c r="I37" s="77"/>
      <c r="J37" s="77"/>
      <c r="K37" s="77"/>
      <c r="L37" s="77"/>
      <c r="M37" s="77"/>
      <c r="N37" s="83" t="s">
        <v>126</v>
      </c>
      <c r="O37" s="85"/>
      <c r="P37" s="85"/>
      <c r="Q37" s="85"/>
      <c r="R37" s="85"/>
    </row>
    <row r="38" spans="2:20" ht="33" customHeight="1" x14ac:dyDescent="0.2">
      <c r="B38" s="79"/>
      <c r="I38" s="77"/>
      <c r="J38" s="77"/>
      <c r="K38" s="77"/>
      <c r="L38" s="77"/>
      <c r="M38" s="77"/>
      <c r="N38" s="566" t="s">
        <v>127</v>
      </c>
      <c r="O38" s="566" t="s">
        <v>133</v>
      </c>
      <c r="P38" s="566" t="s">
        <v>23</v>
      </c>
      <c r="Q38" s="566" t="s">
        <v>129</v>
      </c>
      <c r="R38" s="411" t="s">
        <v>130</v>
      </c>
    </row>
    <row r="39" spans="2:20" ht="33" customHeight="1" x14ac:dyDescent="0.35">
      <c r="B39" s="79"/>
      <c r="C39" s="83" t="s">
        <v>134</v>
      </c>
      <c r="I39" s="77"/>
      <c r="J39" s="77"/>
      <c r="K39" s="77"/>
      <c r="L39" s="77"/>
      <c r="M39" s="77"/>
      <c r="N39" s="567"/>
      <c r="O39" s="567"/>
      <c r="P39" s="567"/>
      <c r="Q39" s="567"/>
      <c r="R39" s="411" t="s">
        <v>135</v>
      </c>
    </row>
    <row r="40" spans="2:20" ht="33" customHeight="1" thickBot="1" x14ac:dyDescent="0.4">
      <c r="B40" s="79"/>
      <c r="C40" s="83"/>
      <c r="I40" s="77"/>
      <c r="J40" s="77"/>
      <c r="K40" s="77"/>
      <c r="L40" s="77"/>
      <c r="M40" s="77"/>
      <c r="N40" s="572" t="s">
        <v>156</v>
      </c>
      <c r="O40" s="574" t="str">
        <f>INDEX('Health Data'!$AB:$AB,MATCH($C$2,'Health Data'!$B:$B,0))</f>
        <v>Not Quantified</v>
      </c>
      <c r="P40" s="71" t="s">
        <v>103</v>
      </c>
      <c r="Q40" s="597"/>
      <c r="R40" s="107"/>
    </row>
    <row r="41" spans="2:20" ht="33" customHeight="1" x14ac:dyDescent="0.25">
      <c r="B41" s="79"/>
      <c r="C41" s="325" t="s">
        <v>136</v>
      </c>
      <c r="I41" s="77"/>
      <c r="J41" s="77"/>
      <c r="K41" s="77"/>
      <c r="L41" s="77"/>
      <c r="M41" s="77"/>
      <c r="N41" s="576"/>
      <c r="O41" s="575"/>
      <c r="P41" s="71" t="s">
        <v>27</v>
      </c>
      <c r="Q41" s="596"/>
      <c r="R41" s="107"/>
    </row>
    <row r="42" spans="2:20" ht="33" customHeight="1" thickBot="1" x14ac:dyDescent="0.3">
      <c r="B42" s="79"/>
      <c r="C42" s="326" t="s">
        <v>30</v>
      </c>
      <c r="I42" s="77"/>
      <c r="J42" s="77"/>
      <c r="K42" s="77"/>
      <c r="L42" s="77"/>
      <c r="M42" s="77"/>
    </row>
    <row r="43" spans="2:20" ht="33" customHeight="1" x14ac:dyDescent="0.35">
      <c r="B43" s="79"/>
      <c r="C43" s="317"/>
      <c r="I43" s="77"/>
      <c r="J43" s="77"/>
      <c r="K43" s="77"/>
      <c r="L43" s="77"/>
      <c r="M43" s="77"/>
      <c r="N43" s="83" t="s">
        <v>137</v>
      </c>
    </row>
    <row r="44" spans="2:20" ht="33" customHeight="1" thickBot="1" x14ac:dyDescent="0.25">
      <c r="B44" s="79"/>
      <c r="I44" s="77"/>
      <c r="J44" s="77"/>
      <c r="K44" s="77"/>
      <c r="L44" s="77"/>
      <c r="M44" s="77"/>
    </row>
    <row r="45" spans="2:20" ht="33" customHeight="1" x14ac:dyDescent="0.2">
      <c r="B45" s="548" t="s">
        <v>138</v>
      </c>
      <c r="C45" s="540" t="s">
        <v>107</v>
      </c>
      <c r="D45" s="540" t="s">
        <v>23</v>
      </c>
      <c r="E45" s="540" t="s">
        <v>108</v>
      </c>
      <c r="F45" s="540" t="str">
        <f>_xlfn.CONCAT("Exposure Estimates: ",$C$42," MOE")</f>
        <v>Exposure Estimates: Worker MOE</v>
      </c>
      <c r="G45" s="540"/>
      <c r="H45" s="540"/>
      <c r="I45" s="540"/>
      <c r="J45" s="540"/>
      <c r="K45" s="542"/>
      <c r="L45" s="77"/>
      <c r="M45" s="77"/>
      <c r="N45" s="532" t="s">
        <v>121</v>
      </c>
      <c r="O45" s="540" t="s">
        <v>23</v>
      </c>
      <c r="P45" s="540" t="s">
        <v>108</v>
      </c>
      <c r="Q45" s="540" t="str">
        <f>_xlfn.CONCAT("Exposure Estimates: ",$C$42," MOE")</f>
        <v>Exposure Estimates: Worker MOE</v>
      </c>
      <c r="R45" s="540"/>
      <c r="S45" s="540"/>
      <c r="T45" s="542"/>
    </row>
    <row r="46" spans="2:20" ht="33" customHeight="1" thickBot="1" x14ac:dyDescent="0.25">
      <c r="B46" s="549"/>
      <c r="C46" s="541"/>
      <c r="D46" s="541"/>
      <c r="E46" s="541"/>
      <c r="F46" s="416" t="s">
        <v>139</v>
      </c>
      <c r="G46" s="416" t="s">
        <v>34</v>
      </c>
      <c r="H46" s="416" t="s">
        <v>35</v>
      </c>
      <c r="I46" s="416" t="s">
        <v>32</v>
      </c>
      <c r="J46" s="416" t="s">
        <v>140</v>
      </c>
      <c r="K46" s="290" t="s">
        <v>31</v>
      </c>
      <c r="L46" s="77"/>
      <c r="M46" s="77"/>
      <c r="N46" s="533"/>
      <c r="O46" s="541"/>
      <c r="P46" s="541"/>
      <c r="Q46" s="318" t="s">
        <v>135</v>
      </c>
      <c r="R46" s="318" t="s">
        <v>33</v>
      </c>
      <c r="S46" s="318" t="s">
        <v>141</v>
      </c>
      <c r="T46" s="319" t="s">
        <v>142</v>
      </c>
    </row>
    <row r="47" spans="2:20" ht="33" customHeight="1" x14ac:dyDescent="0.2">
      <c r="B47" s="550" t="s">
        <v>143</v>
      </c>
      <c r="C47" s="555">
        <f>INDEX('Health Data'!$G:$G,MATCH($C$2,'Health Data'!$B:$B,0))</f>
        <v>2.4163399353274051</v>
      </c>
      <c r="D47" s="292" t="s">
        <v>103</v>
      </c>
      <c r="E47" s="421">
        <v>30</v>
      </c>
      <c r="F47" s="304">
        <f>IFERROR($C47/IF($C$42="Worker",$F$10,$F$11), "")</f>
        <v>394.24905387018856</v>
      </c>
      <c r="G47" s="305">
        <f>IFERROR($F47*'List Values'!$B$9, "")</f>
        <v>3942.4905387018857</v>
      </c>
      <c r="H47" s="305">
        <f>IFERROR($F47*'List Values'!$B$10, "")</f>
        <v>9856.2263467547145</v>
      </c>
      <c r="I47" s="305">
        <f>IFERROR($F47*'List Values'!$B$11, "")</f>
        <v>19712.452693509429</v>
      </c>
      <c r="J47" s="305">
        <f>IFERROR($F47*'List Values'!$B$12, "")</f>
        <v>394249.05387018854</v>
      </c>
      <c r="K47" s="306">
        <f>IFERROR($F47*'List Values'!$B$13, "")</f>
        <v>3942490.5387018854</v>
      </c>
      <c r="L47" s="77"/>
      <c r="M47" s="77"/>
      <c r="N47" s="534">
        <f>INDEX('Health Data'!$K:$K,MATCH($C$2,'Health Data'!$B:$B,0))</f>
        <v>19.899999999999999</v>
      </c>
      <c r="O47" s="292" t="s">
        <v>103</v>
      </c>
      <c r="P47" s="421">
        <v>30</v>
      </c>
      <c r="Q47" s="305">
        <f>IFERROR($N47/Q$10, "")</f>
        <v>81156.955614995895</v>
      </c>
      <c r="R47" s="305">
        <f>IFERROR($N47/$Q$12, "")</f>
        <v>405784.77807497949</v>
      </c>
      <c r="S47" s="305">
        <f>IFERROR($N47/$Q$14, "")</f>
        <v>811569.55614995898</v>
      </c>
      <c r="T47" s="306">
        <f>IFERROR($N47/$Q$16, "")</f>
        <v>1623139.112299918</v>
      </c>
    </row>
    <row r="48" spans="2:20" ht="33" customHeight="1" thickBot="1" x14ac:dyDescent="0.25">
      <c r="B48" s="551"/>
      <c r="C48" s="556"/>
      <c r="D48" s="293" t="s">
        <v>27</v>
      </c>
      <c r="E48" s="418">
        <v>30</v>
      </c>
      <c r="F48" s="303">
        <f>IFERROR($C47/IF($C$42="Worker",$F$12,$F$13), "")</f>
        <v>2279.3709336457491</v>
      </c>
      <c r="G48" s="303">
        <f>IFERROR($F48*'List Values'!$B$9, "")</f>
        <v>22793.70933645749</v>
      </c>
      <c r="H48" s="303">
        <f>IFERROR($F48*'List Values'!$B$10, "")</f>
        <v>56984.273341143729</v>
      </c>
      <c r="I48" s="303">
        <f>IFERROR($F48*'List Values'!$B$11, "")</f>
        <v>113968.54668228746</v>
      </c>
      <c r="J48" s="303">
        <f>IFERROR($F48*'List Values'!$B$12, "")</f>
        <v>2279370.933645749</v>
      </c>
      <c r="K48" s="307">
        <f>IFERROR($F48*'List Values'!$B$13, "")</f>
        <v>22793709.336457491</v>
      </c>
      <c r="L48" s="77"/>
      <c r="M48" s="77"/>
      <c r="N48" s="535"/>
      <c r="O48" s="293" t="s">
        <v>27</v>
      </c>
      <c r="P48" s="418">
        <v>30</v>
      </c>
      <c r="Q48" s="321">
        <f>IFERROR($N47/$Q$11, "")</f>
        <v>243470.86684498767</v>
      </c>
      <c r="R48" s="321">
        <f>IFERROR($N47/$Q$13, "")</f>
        <v>1217354.3342249382</v>
      </c>
      <c r="S48" s="321">
        <f>IFERROR($N47/$Q$15, "")</f>
        <v>2434708.6684498764</v>
      </c>
      <c r="T48" s="322">
        <f>IFERROR($N47/$Q$17, "")</f>
        <v>4869417.3368997527</v>
      </c>
    </row>
    <row r="49" spans="2:20" ht="33" customHeight="1" x14ac:dyDescent="0.2">
      <c r="B49" s="552" t="s">
        <v>144</v>
      </c>
      <c r="C49" s="557">
        <v>22</v>
      </c>
      <c r="D49" s="299" t="s">
        <v>103</v>
      </c>
      <c r="E49" s="417">
        <v>30</v>
      </c>
      <c r="F49" s="300">
        <f>IFERROR($C49/IF($C$42="Worker",$G$10,$G$11), "")</f>
        <v>4894.7879572677257</v>
      </c>
      <c r="G49" s="301">
        <f>IFERROR($F49*'List Values'!$B$9, "")</f>
        <v>48947.879572677259</v>
      </c>
      <c r="H49" s="301">
        <f>IFERROR($F49*'List Values'!$B$10, "")</f>
        <v>122369.69893169314</v>
      </c>
      <c r="I49" s="301">
        <f>IFERROR($F49*'List Values'!$B$11, "")</f>
        <v>244739.39786338629</v>
      </c>
      <c r="J49" s="301">
        <f>IFERROR($F49*'List Values'!$B$12, "")</f>
        <v>4894787.9572677258</v>
      </c>
      <c r="K49" s="302">
        <f>IFERROR($F49*'List Values'!$B$13, "")</f>
        <v>48947879.572677255</v>
      </c>
      <c r="L49" s="77"/>
      <c r="M49" s="77"/>
      <c r="N49" s="536">
        <f>INDEX('Health Data'!$T:$T,MATCH($C$2,'Health Data'!$B:$B,0))</f>
        <v>6.5</v>
      </c>
      <c r="O49" s="299" t="s">
        <v>103</v>
      </c>
      <c r="P49" s="417">
        <v>30</v>
      </c>
      <c r="Q49" s="301">
        <f>IFERROR($N$49/$R$10, "")</f>
        <v>36148.02728397488</v>
      </c>
      <c r="R49" s="301">
        <f>IFERROR($N$49/$R$12, "")</f>
        <v>180740.13641987441</v>
      </c>
      <c r="S49" s="301">
        <f>IFERROR($N$49/$R$14, "")</f>
        <v>361480.27283974882</v>
      </c>
      <c r="T49" s="302">
        <f>IFERROR($N$49/$R$16, "")</f>
        <v>722960.54567949765</v>
      </c>
    </row>
    <row r="50" spans="2:20" ht="33" customHeight="1" thickBot="1" x14ac:dyDescent="0.25">
      <c r="B50" s="551"/>
      <c r="C50" s="558"/>
      <c r="D50" s="293" t="s">
        <v>27</v>
      </c>
      <c r="E50" s="418">
        <v>30</v>
      </c>
      <c r="F50" s="303">
        <f>IFERROR($C49/IF($C$42="Worker",$G$12,$G$13), "")</f>
        <v>28299.465240641774</v>
      </c>
      <c r="G50" s="303">
        <f>IFERROR($F50*'List Values'!$B$9, "")</f>
        <v>282994.65240641776</v>
      </c>
      <c r="H50" s="303">
        <f>IFERROR($F50*'List Values'!$B$10, "")</f>
        <v>707486.6310160443</v>
      </c>
      <c r="I50" s="303">
        <f>IFERROR($F50*'List Values'!$B$11, "")</f>
        <v>1414973.2620320886</v>
      </c>
      <c r="J50" s="303">
        <f>IFERROR($F50*'List Values'!$B$12, "")</f>
        <v>28299465.240641773</v>
      </c>
      <c r="K50" s="307">
        <f>IFERROR($F50*'List Values'!$B$13, "")</f>
        <v>282994652.40641773</v>
      </c>
      <c r="L50" s="77"/>
      <c r="M50" s="77"/>
      <c r="N50" s="537"/>
      <c r="O50" s="293" t="s">
        <v>27</v>
      </c>
      <c r="P50" s="418">
        <v>30</v>
      </c>
      <c r="Q50" s="321">
        <f>IFERROR($N$49/$R$11, "")</f>
        <v>108444.08185192461</v>
      </c>
      <c r="R50" s="321">
        <f>IFERROR($N$49/$R$13, "")</f>
        <v>542220.40925962303</v>
      </c>
      <c r="S50" s="321">
        <f>IFERROR($N$49/$R$15, "")</f>
        <v>1084440.8185192461</v>
      </c>
      <c r="T50" s="322">
        <f>IFERROR($N$49/$R$17, "")</f>
        <v>2168881.6370384921</v>
      </c>
    </row>
    <row r="51" spans="2:20" ht="33" customHeight="1" x14ac:dyDescent="0.2">
      <c r="B51" s="553" t="s">
        <v>145</v>
      </c>
      <c r="C51" s="559">
        <f>INDEX('Health Data'!$P:$P,MATCH($C$2,'Health Data'!$B:$B,0))</f>
        <v>5.2378738884397729</v>
      </c>
      <c r="D51" s="292" t="s">
        <v>103</v>
      </c>
      <c r="E51" s="421">
        <v>300</v>
      </c>
      <c r="F51" s="304">
        <f>IFERROR($C51/IF($C$42="Worker",$H$10,$H$11), "")</f>
        <v>1247.7297255000076</v>
      </c>
      <c r="G51" s="305">
        <f>IFERROR($F51*'List Values'!$B$9, "")</f>
        <v>12477.297255000076</v>
      </c>
      <c r="H51" s="305">
        <f>IFERROR($F51*'List Values'!$B$10, "")</f>
        <v>31193.243137500191</v>
      </c>
      <c r="I51" s="305">
        <f>IFERROR($F51*'List Values'!$B$11, "")</f>
        <v>62386.486275000381</v>
      </c>
      <c r="J51" s="305">
        <f>IFERROR($F51*'List Values'!$B$12, "")</f>
        <v>1247729.7255000076</v>
      </c>
      <c r="K51" s="306">
        <f>IFERROR($F51*'List Values'!$B$13, "")</f>
        <v>12477297.255000075</v>
      </c>
      <c r="L51" s="77"/>
      <c r="M51" s="77"/>
      <c r="N51" s="538">
        <f>INDEX('Health Data'!$T:$T,MATCH($C$2,'Health Data'!$B:$B,0))</f>
        <v>6.5</v>
      </c>
      <c r="O51" s="292" t="s">
        <v>103</v>
      </c>
      <c r="P51" s="421">
        <v>300</v>
      </c>
      <c r="Q51" s="305">
        <f>IFERROR($N$51/$S$10, "")</f>
        <v>38702.4878787091</v>
      </c>
      <c r="R51" s="305">
        <f>IFERROR($N$51/$S$12, "")</f>
        <v>193512.4393935455</v>
      </c>
      <c r="S51" s="305">
        <f>IFERROR($N$51/$S$14, "")</f>
        <v>387024.878787091</v>
      </c>
      <c r="T51" s="306">
        <f>IFERROR($N$51/$S$16, "")</f>
        <v>774049.757574182</v>
      </c>
    </row>
    <row r="52" spans="2:20" ht="33" customHeight="1" thickBot="1" x14ac:dyDescent="0.25">
      <c r="B52" s="554"/>
      <c r="C52" s="560"/>
      <c r="D52" s="293" t="s">
        <v>27</v>
      </c>
      <c r="E52" s="418">
        <v>300</v>
      </c>
      <c r="F52" s="303">
        <f>IFERROR($C51/IF($C$42="Worker",$H$12,$H$13), "")</f>
        <v>7213.8127953173034</v>
      </c>
      <c r="G52" s="303">
        <f>IFERROR($F52*'List Values'!$B$9, "")</f>
        <v>72138.12795317304</v>
      </c>
      <c r="H52" s="303">
        <f>IFERROR($F52*'List Values'!$B$10, "")</f>
        <v>180345.31988293258</v>
      </c>
      <c r="I52" s="303">
        <f>IFERROR($F52*'List Values'!$B$11, "")</f>
        <v>360690.63976586517</v>
      </c>
      <c r="J52" s="303">
        <f>IFERROR($F52*'List Values'!$B$12, "")</f>
        <v>7213812.7953173034</v>
      </c>
      <c r="K52" s="307">
        <f>IFERROR($F52*'List Values'!$B$13, "")</f>
        <v>72138127.953173041</v>
      </c>
      <c r="L52" s="77"/>
      <c r="M52" s="77"/>
      <c r="N52" s="539"/>
      <c r="O52" s="320" t="s">
        <v>27</v>
      </c>
      <c r="P52" s="420">
        <v>300</v>
      </c>
      <c r="Q52" s="323">
        <f>IFERROR($N$51/$S$11, "")</f>
        <v>116107.4636361273</v>
      </c>
      <c r="R52" s="323">
        <f>IFERROR($N$51/$S$13, "")</f>
        <v>580537.3181806365</v>
      </c>
      <c r="S52" s="323">
        <f>IFERROR($N$51/$S$15, "")</f>
        <v>1161074.636361273</v>
      </c>
      <c r="T52" s="324">
        <f>IFERROR($N$51/$S$17, "")</f>
        <v>2322149.272722546</v>
      </c>
    </row>
    <row r="53" spans="2:20" ht="33" customHeight="1" x14ac:dyDescent="0.2">
      <c r="B53" s="294"/>
      <c r="C53" s="547" t="s">
        <v>146</v>
      </c>
      <c r="D53" s="530" t="s">
        <v>23</v>
      </c>
      <c r="E53" s="530" t="s">
        <v>108</v>
      </c>
      <c r="F53" s="530" t="str">
        <f>_xlfn.CONCAT("Exposure Estimates: ",$C$42," MOE")</f>
        <v>Exposure Estimates: Worker MOE</v>
      </c>
      <c r="G53" s="530"/>
      <c r="H53" s="530"/>
      <c r="I53" s="530"/>
      <c r="J53" s="530"/>
      <c r="K53" s="531"/>
      <c r="L53" s="77"/>
      <c r="M53" s="77"/>
      <c r="N53" s="532" t="s">
        <v>147</v>
      </c>
      <c r="O53" s="540" t="s">
        <v>23</v>
      </c>
      <c r="P53" s="540" t="s">
        <v>108</v>
      </c>
      <c r="Q53" s="540" t="str">
        <f>_xlfn.CONCAT("Exposure Estimates: ",$I$4," MOE")</f>
        <v>Exposure Estimates:  MOE</v>
      </c>
      <c r="R53" s="540"/>
      <c r="S53" s="540"/>
      <c r="T53" s="542"/>
    </row>
    <row r="54" spans="2:20" ht="33" customHeight="1" thickBot="1" x14ac:dyDescent="0.25">
      <c r="B54" s="294"/>
      <c r="C54" s="533"/>
      <c r="D54" s="541"/>
      <c r="E54" s="541"/>
      <c r="F54" s="416" t="s">
        <v>139</v>
      </c>
      <c r="G54" s="416" t="s">
        <v>34</v>
      </c>
      <c r="H54" s="416" t="s">
        <v>35</v>
      </c>
      <c r="I54" s="416" t="s">
        <v>32</v>
      </c>
      <c r="J54" s="416" t="s">
        <v>140</v>
      </c>
      <c r="K54" s="290" t="s">
        <v>31</v>
      </c>
      <c r="L54" s="77"/>
      <c r="M54" s="77"/>
      <c r="N54" s="533"/>
      <c r="O54" s="541"/>
      <c r="P54" s="541"/>
      <c r="Q54" s="318" t="s">
        <v>135</v>
      </c>
      <c r="R54" s="318" t="s">
        <v>33</v>
      </c>
      <c r="S54" s="318" t="s">
        <v>141</v>
      </c>
      <c r="T54" s="319" t="s">
        <v>142</v>
      </c>
    </row>
    <row r="55" spans="2:20" ht="33" customHeight="1" x14ac:dyDescent="0.2">
      <c r="B55" s="545" t="s">
        <v>148</v>
      </c>
      <c r="C55" s="543">
        <f>INDEX('Health Data'!$Y:$Y,MATCH($C$2,'Health Data'!$B:$B,0))</f>
        <v>2.8736850715746418E-2</v>
      </c>
      <c r="D55" s="299" t="s">
        <v>103</v>
      </c>
      <c r="E55" s="107">
        <v>1E-4</v>
      </c>
      <c r="F55" s="308">
        <f>IFERROR($C55*IF($C$42="Worker",$I$10,$I$11), "")</f>
        <v>6.186415376039152E-5</v>
      </c>
      <c r="G55" s="309">
        <f>IFERROR($F55/'List Values'!$B$9, "")</f>
        <v>6.186415376039152E-6</v>
      </c>
      <c r="H55" s="309">
        <f>IFERROR($F55/'List Values'!$B$10, "")</f>
        <v>2.4745661504156609E-6</v>
      </c>
      <c r="I55" s="309">
        <f>IFERROR($F55/'List Values'!$B$11, "")</f>
        <v>1.2372830752078304E-6</v>
      </c>
      <c r="J55" s="309">
        <f>IFERROR($F55/'List Values'!$B$12, "")</f>
        <v>6.1864153760391525E-8</v>
      </c>
      <c r="K55" s="310">
        <f>IFERROR($F55/'List Values'!$B$13, "")</f>
        <v>6.1864153760391518E-9</v>
      </c>
      <c r="L55" s="77"/>
      <c r="M55" s="77"/>
      <c r="N55" s="563" t="str">
        <f>INDEX('Health Data'!$AB:$AB,MATCH($C$2,'Health Data'!$B:$B,0))</f>
        <v>Not Quantified</v>
      </c>
      <c r="O55" s="292" t="s">
        <v>103</v>
      </c>
      <c r="P55" s="596"/>
      <c r="Q55" s="305" t="str">
        <f>IFERROR($N$55*$T10, "")</f>
        <v/>
      </c>
      <c r="R55" s="305" t="str">
        <f>IFERROR($N$55*$T12, "")</f>
        <v/>
      </c>
      <c r="S55" s="305" t="str">
        <f>IFERROR($N$55*$T14, "")</f>
        <v/>
      </c>
      <c r="T55" s="306" t="str">
        <f>IFERROR($N$55*$T16, "")</f>
        <v/>
      </c>
    </row>
    <row r="56" spans="2:20" ht="33" customHeight="1" thickBot="1" x14ac:dyDescent="0.25">
      <c r="B56" s="546"/>
      <c r="C56" s="544"/>
      <c r="D56" s="293" t="s">
        <v>27</v>
      </c>
      <c r="E56" s="107">
        <v>1E-4</v>
      </c>
      <c r="F56" s="337">
        <f>IFERROR($C55*IF($C$42="Worker",$I$12,$I$13), "")</f>
        <v>8.2927091372378712E-6</v>
      </c>
      <c r="G56" s="338">
        <f>IFERROR($F56/'List Values'!$B$9, "")</f>
        <v>8.292709137237871E-7</v>
      </c>
      <c r="H56" s="338">
        <f>IFERROR($F56/'List Values'!$B$10, "")</f>
        <v>3.3170836548951484E-7</v>
      </c>
      <c r="I56" s="338">
        <f>IFERROR($F56/'List Values'!$B$11, "")</f>
        <v>1.6585418274475742E-7</v>
      </c>
      <c r="J56" s="338">
        <f>IFERROR($F56/'List Values'!$B$12, "")</f>
        <v>8.2927091372378714E-9</v>
      </c>
      <c r="K56" s="339">
        <f>IFERROR($F56/'List Values'!$B$13, "")</f>
        <v>8.2927091372378709E-10</v>
      </c>
      <c r="L56" s="77"/>
      <c r="M56" s="77"/>
      <c r="N56" s="564"/>
      <c r="O56" s="293" t="s">
        <v>27</v>
      </c>
      <c r="P56" s="558"/>
      <c r="Q56" s="321" t="str">
        <f>IFERROR($N$55*$T11, "")</f>
        <v/>
      </c>
      <c r="R56" s="321" t="str">
        <f>IFERROR($N$55*$T13, "")</f>
        <v/>
      </c>
      <c r="S56" s="321" t="str">
        <f>IFERROR($N$55*$T15, "")</f>
        <v/>
      </c>
      <c r="T56" s="322" t="str">
        <f>IFERROR($N$55*$T17, "")</f>
        <v/>
      </c>
    </row>
    <row r="57" spans="2:20" ht="33" customHeight="1" x14ac:dyDescent="0.2">
      <c r="B57" s="79"/>
      <c r="I57" s="77"/>
      <c r="J57" s="77"/>
      <c r="K57" s="77"/>
      <c r="L57" s="77"/>
      <c r="M57" s="77"/>
    </row>
    <row r="58" spans="2:20" ht="33" customHeight="1" x14ac:dyDescent="0.2">
      <c r="B58" s="79"/>
      <c r="I58" s="77"/>
      <c r="J58" s="77"/>
      <c r="K58" s="77"/>
      <c r="L58" s="77"/>
      <c r="M58" s="77"/>
    </row>
    <row r="59" spans="2:20" ht="33" customHeight="1" x14ac:dyDescent="0.2">
      <c r="B59" s="79"/>
      <c r="I59" s="77"/>
      <c r="J59" s="77"/>
      <c r="K59" s="77"/>
      <c r="L59" s="77"/>
      <c r="M59" s="77"/>
    </row>
    <row r="60" spans="2:20" ht="33" customHeight="1" x14ac:dyDescent="0.2">
      <c r="B60" s="79"/>
      <c r="I60" s="77"/>
      <c r="J60" s="77"/>
      <c r="K60" s="77"/>
      <c r="L60" s="77"/>
      <c r="M60" s="77"/>
    </row>
    <row r="61" spans="2:20" s="85" customFormat="1" ht="21" x14ac:dyDescent="0.35">
      <c r="C61" s="66"/>
      <c r="D61" s="66"/>
      <c r="E61" s="66"/>
      <c r="F61" s="66"/>
      <c r="G61" s="66"/>
      <c r="H61" s="66"/>
      <c r="N61" s="66"/>
      <c r="O61" s="66"/>
      <c r="P61" s="66"/>
      <c r="Q61" s="66"/>
      <c r="R61" s="66"/>
      <c r="S61" s="66"/>
      <c r="T61" s="66"/>
    </row>
    <row r="62" spans="2:20" ht="25.5" customHeight="1" x14ac:dyDescent="0.2">
      <c r="B62" s="82"/>
      <c r="I62" s="90"/>
      <c r="J62" s="90"/>
      <c r="K62" s="90"/>
      <c r="L62" s="90"/>
      <c r="M62" s="90"/>
    </row>
    <row r="63" spans="2:20" ht="14.45" customHeight="1" x14ac:dyDescent="0.2">
      <c r="B63" s="82"/>
      <c r="I63" s="90"/>
      <c r="J63" s="90"/>
      <c r="K63" s="90"/>
      <c r="L63" s="90"/>
      <c r="M63" s="90"/>
    </row>
    <row r="64" spans="2:20" x14ac:dyDescent="0.2">
      <c r="B64" s="82"/>
      <c r="I64" s="89"/>
      <c r="J64" s="89"/>
      <c r="K64" s="89"/>
      <c r="L64" s="89"/>
      <c r="M64" s="89"/>
    </row>
    <row r="65" spans="2:20" ht="21" x14ac:dyDescent="0.35">
      <c r="B65" s="82"/>
      <c r="I65" s="89"/>
      <c r="J65" s="89"/>
      <c r="K65" s="89"/>
      <c r="L65" s="89"/>
      <c r="M65" s="89"/>
      <c r="S65" s="85"/>
      <c r="T65" s="85"/>
    </row>
    <row r="69" spans="2:20" ht="29.1" customHeight="1" x14ac:dyDescent="0.2"/>
  </sheetData>
  <sheetProtection sheet="1" objects="1" scenarios="1" formatCells="0" formatColumns="0" formatRows="0"/>
  <mergeCells count="93">
    <mergeCell ref="O8:O9"/>
    <mergeCell ref="D10:D11"/>
    <mergeCell ref="N10:N11"/>
    <mergeCell ref="N12:N13"/>
    <mergeCell ref="N14:N15"/>
    <mergeCell ref="N16:N17"/>
    <mergeCell ref="C8:C9"/>
    <mergeCell ref="D8:D9"/>
    <mergeCell ref="N8:N9"/>
    <mergeCell ref="G16:H16"/>
    <mergeCell ref="D12:D13"/>
    <mergeCell ref="C16:C17"/>
    <mergeCell ref="D16:D17"/>
    <mergeCell ref="E16:E17"/>
    <mergeCell ref="F16:F17"/>
    <mergeCell ref="P20:P21"/>
    <mergeCell ref="P26:P27"/>
    <mergeCell ref="Q20:Q21"/>
    <mergeCell ref="C18:C19"/>
    <mergeCell ref="D18:D19"/>
    <mergeCell ref="G22:H22"/>
    <mergeCell ref="N22:N23"/>
    <mergeCell ref="O22:O23"/>
    <mergeCell ref="O26:O27"/>
    <mergeCell ref="O20:O21"/>
    <mergeCell ref="Q26:Q27"/>
    <mergeCell ref="C24:C25"/>
    <mergeCell ref="D24:D25"/>
    <mergeCell ref="N20:N21"/>
    <mergeCell ref="C22:C23"/>
    <mergeCell ref="D22:D23"/>
    <mergeCell ref="O32:O33"/>
    <mergeCell ref="P32:P33"/>
    <mergeCell ref="Q32:Q33"/>
    <mergeCell ref="C30:C31"/>
    <mergeCell ref="D30:D31"/>
    <mergeCell ref="N32:N33"/>
    <mergeCell ref="O28:O29"/>
    <mergeCell ref="N26:N27"/>
    <mergeCell ref="C28:C29"/>
    <mergeCell ref="D28:D29"/>
    <mergeCell ref="E28:E29"/>
    <mergeCell ref="F28:F29"/>
    <mergeCell ref="G28:H28"/>
    <mergeCell ref="N28:N29"/>
    <mergeCell ref="O40:O41"/>
    <mergeCell ref="Q40:Q41"/>
    <mergeCell ref="C34:C35"/>
    <mergeCell ref="D34:D35"/>
    <mergeCell ref="E34:E35"/>
    <mergeCell ref="F34:F35"/>
    <mergeCell ref="G34:H34"/>
    <mergeCell ref="N38:N39"/>
    <mergeCell ref="N34:N35"/>
    <mergeCell ref="O34:O35"/>
    <mergeCell ref="O38:O39"/>
    <mergeCell ref="P38:P39"/>
    <mergeCell ref="Q38:Q39"/>
    <mergeCell ref="C36:C37"/>
    <mergeCell ref="D36:D37"/>
    <mergeCell ref="N40:N41"/>
    <mergeCell ref="E22:E23"/>
    <mergeCell ref="F22:F23"/>
    <mergeCell ref="F53:K53"/>
    <mergeCell ref="B55:B56"/>
    <mergeCell ref="C55:C56"/>
    <mergeCell ref="B47:B48"/>
    <mergeCell ref="C47:C48"/>
    <mergeCell ref="B49:B50"/>
    <mergeCell ref="C49:C50"/>
    <mergeCell ref="B45:B46"/>
    <mergeCell ref="C45:C46"/>
    <mergeCell ref="D45:D46"/>
    <mergeCell ref="E45:E46"/>
    <mergeCell ref="F45:K45"/>
    <mergeCell ref="N51:N52"/>
    <mergeCell ref="N53:N54"/>
    <mergeCell ref="B51:B52"/>
    <mergeCell ref="C51:C52"/>
    <mergeCell ref="C53:C54"/>
    <mergeCell ref="D53:D54"/>
    <mergeCell ref="E53:E54"/>
    <mergeCell ref="Q53:T53"/>
    <mergeCell ref="N55:N56"/>
    <mergeCell ref="P55:P56"/>
    <mergeCell ref="O53:O54"/>
    <mergeCell ref="P53:P54"/>
    <mergeCell ref="O45:O46"/>
    <mergeCell ref="Q45:T45"/>
    <mergeCell ref="N47:N48"/>
    <mergeCell ref="N49:N50"/>
    <mergeCell ref="P45:P46"/>
    <mergeCell ref="N45:N46"/>
  </mergeCells>
  <conditionalFormatting sqref="E10:M13">
    <cfRule type="cellIs" dxfId="1659" priority="125" operator="equal">
      <formula>0</formula>
    </cfRule>
    <cfRule type="containsBlanks" dxfId="1658" priority="124" stopIfTrue="1">
      <formula>LEN(TRIM(E10))=0</formula>
    </cfRule>
    <cfRule type="cellIs" dxfId="1657" priority="123" operator="lessThanOrEqual">
      <formula>0.1</formula>
    </cfRule>
    <cfRule type="cellIs" dxfId="1656" priority="119" operator="greaterThanOrEqual">
      <formula>10000</formula>
    </cfRule>
    <cfRule type="cellIs" dxfId="1655" priority="120" operator="greaterThanOrEqual">
      <formula>10</formula>
    </cfRule>
    <cfRule type="cellIs" dxfId="1654" priority="121" operator="between">
      <formula>1</formula>
      <formula>9.999</formula>
    </cfRule>
    <cfRule type="cellIs" dxfId="1653" priority="122" operator="between">
      <formula>0.1</formula>
      <formula>0.999</formula>
    </cfRule>
    <cfRule type="cellIs" dxfId="1652" priority="130" operator="greaterThan">
      <formula>10000</formula>
    </cfRule>
    <cfRule type="cellIs" dxfId="1651" priority="129" operator="greaterThan">
      <formula>10</formula>
    </cfRule>
    <cfRule type="cellIs" dxfId="1650" priority="128" operator="between">
      <formula>1</formula>
      <formula>10</formula>
    </cfRule>
    <cfRule type="cellIs" dxfId="1649" priority="127" operator="between">
      <formula>0.1</formula>
      <formula>0.999</formula>
    </cfRule>
    <cfRule type="cellIs" dxfId="1648" priority="126" operator="lessThan">
      <formula>0.1</formula>
    </cfRule>
  </conditionalFormatting>
  <conditionalFormatting sqref="F47:K48">
    <cfRule type="cellIs" dxfId="1647" priority="94" operator="lessThan">
      <formula>$E$47</formula>
    </cfRule>
    <cfRule type="cellIs" dxfId="1646" priority="93" operator="greaterThanOrEqual">
      <formula>$E$47</formula>
    </cfRule>
  </conditionalFormatting>
  <conditionalFormatting sqref="F47:K52">
    <cfRule type="containsBlanks" dxfId="1645" priority="76" stopIfTrue="1">
      <formula>LEN(TRIM(F47))=0</formula>
    </cfRule>
    <cfRule type="cellIs" dxfId="1644" priority="75" operator="lessThanOrEqual">
      <formula>0.1</formula>
    </cfRule>
    <cfRule type="cellIs" dxfId="1643" priority="74" operator="between">
      <formula>0.1</formula>
      <formula>0.999</formula>
    </cfRule>
    <cfRule type="cellIs" dxfId="1642" priority="73" operator="between">
      <formula>1</formula>
      <formula>9.999</formula>
    </cfRule>
    <cfRule type="cellIs" dxfId="1641" priority="72" operator="greaterThanOrEqual">
      <formula>10</formula>
    </cfRule>
    <cfRule type="cellIs" dxfId="1640" priority="71" operator="greaterThanOrEqual">
      <formula>10000</formula>
    </cfRule>
  </conditionalFormatting>
  <conditionalFormatting sqref="F49:K50">
    <cfRule type="cellIs" dxfId="1639" priority="86" operator="lessThan">
      <formula>$E$49</formula>
    </cfRule>
    <cfRule type="cellIs" dxfId="1638" priority="85" operator="greaterThanOrEqual">
      <formula>$E$49</formula>
    </cfRule>
  </conditionalFormatting>
  <conditionalFormatting sqref="F51:K52">
    <cfRule type="cellIs" dxfId="1637" priority="78" operator="lessThan">
      <formula>$E$51</formula>
    </cfRule>
    <cfRule type="cellIs" dxfId="1636" priority="77" operator="greaterThanOrEqual">
      <formula>$E$51</formula>
    </cfRule>
  </conditionalFormatting>
  <conditionalFormatting sqref="F55:K55">
    <cfRule type="containsBlanks" dxfId="1635" priority="67" stopIfTrue="1">
      <formula>LEN(TRIM(F55))=0</formula>
    </cfRule>
    <cfRule type="cellIs" dxfId="1634" priority="68" operator="greaterThanOrEqual">
      <formula>0.0001</formula>
    </cfRule>
  </conditionalFormatting>
  <conditionalFormatting sqref="F55:K56">
    <cfRule type="cellIs" dxfId="1633" priority="1" operator="between">
      <formula>1</formula>
      <formula>9.999</formula>
    </cfRule>
    <cfRule type="cellIs" dxfId="1632" priority="2" operator="between">
      <formula>0.1</formula>
      <formula>0.999</formula>
    </cfRule>
    <cfRule type="cellIs" dxfId="1631" priority="62" operator="greaterThanOrEqual">
      <formula>10000</formula>
    </cfRule>
    <cfRule type="cellIs" dxfId="1630" priority="63" operator="greaterThanOrEqual">
      <formula>10</formula>
    </cfRule>
  </conditionalFormatting>
  <conditionalFormatting sqref="F56:K56">
    <cfRule type="cellIs" dxfId="1629" priority="66" operator="lessThanOrEqual">
      <formula>0.1</formula>
    </cfRule>
    <cfRule type="cellIs" dxfId="1628" priority="4" operator="greaterThanOrEqual">
      <formula>0.0001</formula>
    </cfRule>
    <cfRule type="containsBlanks" dxfId="1627" priority="3" stopIfTrue="1">
      <formula>LEN(TRIM(F56))=0</formula>
    </cfRule>
  </conditionalFormatting>
  <conditionalFormatting sqref="G18:H19 G24:H25 G30:H31">
    <cfRule type="cellIs" dxfId="1626" priority="153" operator="lessThan">
      <formula>$F18</formula>
    </cfRule>
    <cfRule type="cellIs" dxfId="1625" priority="147" operator="greaterThanOrEqual">
      <formula>10000</formula>
    </cfRule>
    <cfRule type="cellIs" dxfId="1624" priority="148" operator="greaterThanOrEqual">
      <formula>10</formula>
    </cfRule>
    <cfRule type="cellIs" dxfId="1623" priority="149" operator="between">
      <formula>1</formula>
      <formula>9.999</formula>
    </cfRule>
    <cfRule type="cellIs" dxfId="1622" priority="150" operator="between">
      <formula>0.1</formula>
      <formula>0.999</formula>
    </cfRule>
    <cfRule type="cellIs" dxfId="1621" priority="151" operator="lessThanOrEqual">
      <formula>0.1</formula>
    </cfRule>
    <cfRule type="containsBlanks" dxfId="1620" priority="152" stopIfTrue="1">
      <formula>LEN(TRIM(G18))=0</formula>
    </cfRule>
  </conditionalFormatting>
  <conditionalFormatting sqref="G36:H37 R40:R41">
    <cfRule type="cellIs" dxfId="1619" priority="138" operator="greaterThan">
      <formula>0.0001</formula>
    </cfRule>
  </conditionalFormatting>
  <conditionalFormatting sqref="G36:H37">
    <cfRule type="cellIs" dxfId="1618" priority="132" operator="greaterThanOrEqual">
      <formula>10</formula>
    </cfRule>
    <cfRule type="cellIs" dxfId="1617" priority="133" operator="between">
      <formula>1</formula>
      <formula>9.999</formula>
    </cfRule>
    <cfRule type="cellIs" dxfId="1616" priority="134" operator="between">
      <formula>0.1</formula>
      <formula>0.999</formula>
    </cfRule>
    <cfRule type="cellIs" dxfId="1615" priority="135" operator="lessThanOrEqual">
      <formula>0.1</formula>
    </cfRule>
    <cfRule type="containsBlanks" dxfId="1614" priority="136" stopIfTrue="1">
      <formula>LEN(TRIM(G36))=0</formula>
    </cfRule>
    <cfRule type="cellIs" dxfId="1613" priority="137" operator="equal">
      <formula>0</formula>
    </cfRule>
    <cfRule type="cellIs" dxfId="1612" priority="131" operator="greaterThanOrEqual">
      <formula>10000</formula>
    </cfRule>
  </conditionalFormatting>
  <conditionalFormatting sqref="P10:T17">
    <cfRule type="cellIs" dxfId="1611" priority="97" operator="between">
      <formula>1</formula>
      <formula>9.999</formula>
    </cfRule>
    <cfRule type="cellIs" dxfId="1610" priority="98" operator="between">
      <formula>0.1</formula>
      <formula>0.999</formula>
    </cfRule>
    <cfRule type="cellIs" dxfId="1609" priority="99" operator="lessThanOrEqual">
      <formula>0.1</formula>
    </cfRule>
    <cfRule type="containsBlanks" dxfId="1608" priority="100" stopIfTrue="1">
      <formula>LEN(TRIM(P10))=0</formula>
    </cfRule>
    <cfRule type="cellIs" dxfId="1607" priority="101" operator="equal">
      <formula>0</formula>
    </cfRule>
    <cfRule type="cellIs" dxfId="1606" priority="102" operator="lessThan">
      <formula>0.1</formula>
    </cfRule>
    <cfRule type="cellIs" dxfId="1605" priority="103" operator="between">
      <formula>0.1</formula>
      <formula>0.999</formula>
    </cfRule>
    <cfRule type="cellIs" dxfId="1604" priority="104" operator="between">
      <formula>1</formula>
      <formula>10</formula>
    </cfRule>
    <cfRule type="cellIs" dxfId="1603" priority="105" operator="greaterThan">
      <formula>10</formula>
    </cfRule>
    <cfRule type="cellIs" dxfId="1602" priority="106" operator="greaterThan">
      <formula>10000</formula>
    </cfRule>
    <cfRule type="cellIs" dxfId="1601" priority="95" operator="greaterThanOrEqual">
      <formula>10000</formula>
    </cfRule>
    <cfRule type="cellIs" dxfId="1600" priority="96" operator="greaterThanOrEqual">
      <formula>10</formula>
    </cfRule>
  </conditionalFormatting>
  <conditionalFormatting sqref="Q47:T47">
    <cfRule type="cellIs" dxfId="1599" priority="61" operator="lessThan">
      <formula>$P$47</formula>
    </cfRule>
    <cfRule type="cellIs" dxfId="1598" priority="60" operator="greaterThanOrEqual">
      <formula>$P$47</formula>
    </cfRule>
  </conditionalFormatting>
  <conditionalFormatting sqref="Q47:T52">
    <cfRule type="cellIs" dxfId="1597" priority="19" operator="lessThanOrEqual">
      <formula>0.1</formula>
    </cfRule>
    <cfRule type="cellIs" dxfId="1596" priority="18" operator="greaterThanOrEqual">
      <formula>10</formula>
    </cfRule>
    <cfRule type="cellIs" dxfId="1595" priority="17" operator="greaterThanOrEqual">
      <formula>10000</formula>
    </cfRule>
    <cfRule type="containsBlanks" dxfId="1594" priority="16" stopIfTrue="1">
      <formula>LEN(TRIM(Q47))=0</formula>
    </cfRule>
    <cfRule type="cellIs" dxfId="1593" priority="15" operator="between">
      <formula>0.1</formula>
      <formula>0.999</formula>
    </cfRule>
    <cfRule type="cellIs" dxfId="1592" priority="14" operator="between">
      <formula>1</formula>
      <formula>9.999</formula>
    </cfRule>
  </conditionalFormatting>
  <conditionalFormatting sqref="Q48:T48">
    <cfRule type="cellIs" dxfId="1591" priority="53" operator="lessThan">
      <formula>$P$48</formula>
    </cfRule>
    <cfRule type="cellIs" dxfId="1590" priority="52" operator="greaterThanOrEqual">
      <formula>$P$48</formula>
    </cfRule>
  </conditionalFormatting>
  <conditionalFormatting sqref="Q49:T49">
    <cfRule type="cellIs" dxfId="1589" priority="45" operator="lessThan">
      <formula>$P$49</formula>
    </cfRule>
    <cfRule type="cellIs" dxfId="1588" priority="44" operator="greaterThanOrEqual">
      <formula>$P$49</formula>
    </cfRule>
  </conditionalFormatting>
  <conditionalFormatting sqref="Q50:T50">
    <cfRule type="cellIs" dxfId="1587" priority="37" operator="lessThan">
      <formula>$P$48</formula>
    </cfRule>
    <cfRule type="cellIs" dxfId="1586" priority="36" operator="greaterThanOrEqual">
      <formula>$P$48</formula>
    </cfRule>
  </conditionalFormatting>
  <conditionalFormatting sqref="Q51:T51">
    <cfRule type="cellIs" dxfId="1585" priority="29" operator="lessThan">
      <formula>$P$49</formula>
    </cfRule>
    <cfRule type="cellIs" dxfId="1584" priority="28" operator="greaterThanOrEqual">
      <formula>$P$49</formula>
    </cfRule>
  </conditionalFormatting>
  <conditionalFormatting sqref="Q52:T52">
    <cfRule type="cellIs" dxfId="1583" priority="21" operator="lessThan">
      <formula>$P$51</formula>
    </cfRule>
    <cfRule type="cellIs" dxfId="1582" priority="20" operator="greaterThanOrEqual">
      <formula>$P$51</formula>
    </cfRule>
  </conditionalFormatting>
  <conditionalFormatting sqref="Q55:T56">
    <cfRule type="cellIs" dxfId="1581" priority="13" operator="between">
      <formula>0.000001</formula>
      <formula>0.00001</formula>
    </cfRule>
    <cfRule type="cellIs" dxfId="1580" priority="12" operator="between">
      <formula>0.00001</formula>
      <formula>0.0001</formula>
    </cfRule>
    <cfRule type="cellIs" dxfId="1579" priority="11" operator="greaterThanOrEqual">
      <formula>0.0001</formula>
    </cfRule>
    <cfRule type="containsBlanks" dxfId="1578" priority="10" stopIfTrue="1">
      <formula>LEN(TRIM(Q55))=0</formula>
    </cfRule>
    <cfRule type="cellIs" dxfId="1577" priority="9" operator="lessThanOrEqual">
      <formula>0.1</formula>
    </cfRule>
    <cfRule type="cellIs" dxfId="1576" priority="8" operator="between">
      <formula>1</formula>
      <formula>100</formula>
    </cfRule>
    <cfRule type="cellIs" dxfId="1575" priority="7" operator="greaterThan">
      <formula>100</formula>
    </cfRule>
  </conditionalFormatting>
  <conditionalFormatting sqref="R22:R23 R28:R29 R34:R35 R40:R41">
    <cfRule type="cellIs" dxfId="1574" priority="140" operator="greaterThanOrEqual">
      <formula>10000</formula>
    </cfRule>
    <cfRule type="cellIs" dxfId="1573" priority="141" operator="greaterThanOrEqual">
      <formula>10</formula>
    </cfRule>
    <cfRule type="cellIs" dxfId="1572" priority="143" operator="between">
      <formula>0.1</formula>
      <formula>0.999</formula>
    </cfRule>
    <cfRule type="cellIs" dxfId="1571" priority="144" operator="lessThanOrEqual">
      <formula>0.1</formula>
    </cfRule>
    <cfRule type="containsBlanks" dxfId="1570" priority="145" stopIfTrue="1">
      <formula>LEN(TRIM(R22))=0</formula>
    </cfRule>
    <cfRule type="cellIs" dxfId="1569" priority="146" operator="lessThan">
      <formula>$Q22</formula>
    </cfRule>
    <cfRule type="cellIs" dxfId="1568" priority="142" operator="between">
      <formula>1</formula>
      <formula>9.999</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A675210-E0AC-440D-AA34-73DDACDD7700}">
          <x14:formula1>
            <xm:f>'List Values'!$B$4:$B$5</xm:f>
          </x14:formula1>
          <xm:sqref>C42:C43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F313-FF0C-4BA9-8905-13BD23247400}">
  <sheetPr codeName="Sheet7"/>
  <dimension ref="B1:V69"/>
  <sheetViews>
    <sheetView topLeftCell="D1" workbookViewId="0">
      <selection activeCell="R9" sqref="R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8" width="15.85546875" style="66" customWidth="1"/>
    <col min="9" max="13" width="12.85546875" style="66" customWidth="1"/>
    <col min="14" max="14" width="28.42578125" style="66" customWidth="1"/>
    <col min="15" max="18" width="14.85546875" style="66" customWidth="1"/>
    <col min="19" max="20" width="13.5703125" style="66" customWidth="1"/>
    <col min="21" max="16384" width="8.7109375" style="66"/>
  </cols>
  <sheetData>
    <row r="1" spans="2:22" ht="21" x14ac:dyDescent="0.35">
      <c r="C1" s="83" t="s">
        <v>1</v>
      </c>
    </row>
    <row r="2" spans="2:22" ht="21" x14ac:dyDescent="0.35">
      <c r="C2" s="83" t="s">
        <v>468</v>
      </c>
      <c r="T2" s="67"/>
    </row>
    <row r="3" spans="2:22" ht="15.75" x14ac:dyDescent="0.25">
      <c r="C3" s="67"/>
      <c r="T3" s="67"/>
    </row>
    <row r="4" spans="2:22" ht="21" x14ac:dyDescent="0.35">
      <c r="C4" s="84" t="s">
        <v>83</v>
      </c>
      <c r="D4" s="85"/>
      <c r="E4" s="85"/>
      <c r="F4" s="85"/>
      <c r="G4" s="85"/>
      <c r="H4" s="85"/>
      <c r="I4" s="85"/>
      <c r="J4" s="85"/>
      <c r="K4" s="85"/>
      <c r="L4" s="85"/>
      <c r="M4" s="85"/>
      <c r="N4" s="84" t="s">
        <v>29</v>
      </c>
      <c r="T4" s="67"/>
    </row>
    <row r="5" spans="2:22" ht="21" x14ac:dyDescent="0.35">
      <c r="C5" s="85"/>
      <c r="D5" s="85"/>
      <c r="E5" s="85"/>
      <c r="F5" s="85"/>
      <c r="G5" s="85"/>
      <c r="H5" s="85"/>
      <c r="I5" s="85"/>
      <c r="J5" s="85"/>
      <c r="K5" s="85"/>
      <c r="L5" s="85"/>
      <c r="M5" s="85"/>
      <c r="N5" s="83"/>
      <c r="T5" s="67"/>
    </row>
    <row r="6" spans="2:22" ht="21" x14ac:dyDescent="0.35">
      <c r="C6" s="83" t="s">
        <v>84</v>
      </c>
      <c r="D6" s="85"/>
      <c r="E6" s="85"/>
      <c r="F6" s="85"/>
      <c r="G6" s="85"/>
      <c r="H6" s="85"/>
      <c r="I6" s="85"/>
      <c r="J6" s="85"/>
      <c r="K6" s="85"/>
      <c r="L6" s="85"/>
      <c r="M6" s="85"/>
      <c r="N6" s="83" t="s">
        <v>84</v>
      </c>
      <c r="T6" s="67"/>
    </row>
    <row r="7" spans="2:22" ht="15.75" x14ac:dyDescent="0.25">
      <c r="C7" s="67"/>
      <c r="T7" s="67"/>
    </row>
    <row r="8" spans="2:22" ht="38.25" x14ac:dyDescent="0.25">
      <c r="C8" s="592" t="s">
        <v>85</v>
      </c>
      <c r="D8" s="593" t="s">
        <v>23</v>
      </c>
      <c r="E8" s="411" t="s">
        <v>86</v>
      </c>
      <c r="F8" s="411" t="s">
        <v>87</v>
      </c>
      <c r="G8" s="411" t="s">
        <v>88</v>
      </c>
      <c r="H8" s="411" t="s">
        <v>89</v>
      </c>
      <c r="I8" s="411" t="s">
        <v>90</v>
      </c>
      <c r="J8" s="291"/>
      <c r="K8" s="291"/>
      <c r="L8" s="291"/>
      <c r="M8" s="291"/>
      <c r="N8" s="592" t="s">
        <v>85</v>
      </c>
      <c r="O8" s="592" t="s">
        <v>23</v>
      </c>
      <c r="P8" s="411" t="s">
        <v>91</v>
      </c>
      <c r="Q8" s="411" t="s">
        <v>92</v>
      </c>
      <c r="R8" s="411" t="s">
        <v>93</v>
      </c>
      <c r="S8" s="411" t="s">
        <v>94</v>
      </c>
      <c r="T8" s="411" t="s">
        <v>95</v>
      </c>
      <c r="V8" s="67"/>
    </row>
    <row r="9" spans="2:22" ht="27" x14ac:dyDescent="0.25">
      <c r="C9" s="592"/>
      <c r="D9" s="593"/>
      <c r="E9" s="411" t="s">
        <v>150</v>
      </c>
      <c r="F9" s="411" t="s">
        <v>151</v>
      </c>
      <c r="G9" s="411" t="s">
        <v>152</v>
      </c>
      <c r="H9" s="411" t="s">
        <v>152</v>
      </c>
      <c r="I9" s="411" t="s">
        <v>153</v>
      </c>
      <c r="J9" s="291"/>
      <c r="K9" s="291"/>
      <c r="L9" s="291"/>
      <c r="M9" s="291"/>
      <c r="N9" s="592"/>
      <c r="O9" s="592"/>
      <c r="P9" s="411" t="s">
        <v>100</v>
      </c>
      <c r="Q9" s="411" t="s">
        <v>154</v>
      </c>
      <c r="R9" s="411" t="s">
        <v>503</v>
      </c>
      <c r="S9" s="411" t="s">
        <v>155</v>
      </c>
      <c r="T9" s="411" t="s">
        <v>504</v>
      </c>
      <c r="V9" s="67"/>
    </row>
    <row r="10" spans="2:22" ht="15.75" x14ac:dyDescent="0.25">
      <c r="C10" s="88" t="s">
        <v>30</v>
      </c>
      <c r="D10" s="594" t="s">
        <v>103</v>
      </c>
      <c r="E10" s="316">
        <f>INDEX('Inhalation Exposures'!$I$37:$I$44, MATCH('1,1-DCA_test order_max_OP'!$C$2, 'Inhalation Exposures'!$A$37:$A$44, 0))</f>
        <v>9.009583333333333E-3</v>
      </c>
      <c r="F10" s="316">
        <f>INDEX('Inhalation Exposures'!$K$37:$K$44, MATCH('1,1-DCA_test order_max_OP'!$C$2, 'Inhalation Exposures'!$A$37:$A$44, 0))</f>
        <v>6.1289682539682538E-3</v>
      </c>
      <c r="G10" s="316">
        <f>INDEX('Inhalation Exposures'!$M$37:$M$44, MATCH('1,1-DCA_test order_max_OP'!$C$2, 'Inhalation Exposures'!$A$37:$A$44, 0))</f>
        <v>4.4945767195767195E-3</v>
      </c>
      <c r="H10" s="316">
        <f>INDEX('Inhalation Exposures'!$O$37:$O$44, MATCH('1,1-DCA_test order_max_OP'!$C$2, 'Inhalation Exposures'!$A$37:$A$44, 0))</f>
        <v>4.1979234616220922E-3</v>
      </c>
      <c r="I10" s="316">
        <f>INDEX('Inhalation Exposures'!$Q$37:$Q$44, MATCH('1,1-DCA_test order_max_OP'!$C$2, 'Inhalation Exposures'!$A$37:$A$44, 0))</f>
        <v>2.1527812623703033E-3</v>
      </c>
      <c r="J10" s="89"/>
      <c r="K10" s="89"/>
      <c r="L10" s="89"/>
      <c r="M10" s="89"/>
      <c r="N10" s="595" t="s">
        <v>104</v>
      </c>
      <c r="O10" s="412" t="s">
        <v>103</v>
      </c>
      <c r="P10" s="316">
        <f>IFERROR(INDEX('Dermal Exposures'!$J$19:$J$27, MATCH('1,1-DCA_test order_max_OP'!$C$2, 'Dermal Exposures'!$A$19:$A$27, 0)), "")</f>
        <v>2.0223</v>
      </c>
      <c r="Q10" s="316">
        <f>IFERROR(INDEX('Dermal Exposures'!$K$19:$K$27, MATCH('1,1-DCA_test order_max_OP'!$C$2, 'Dermal Exposures'!$A$19:$A$27, 0)), "")</f>
        <v>2.5278749999999999E-2</v>
      </c>
      <c r="R10" s="316">
        <f>IFERROR(INDEX('Dermal Exposures'!$L$19:$L$27, MATCH('1,1-DCA_test order_max_OP'!$C$2, 'Dermal Exposures'!$A$19:$A$27, 0)), "")</f>
        <v>1.8537750000000002E-2</v>
      </c>
      <c r="S10" s="316">
        <f>IFERROR(INDEX('Dermal Exposures'!$M$19:$M$27, MATCH('1,1-DCA_test order_max_OP'!$C$2, 'Dermal Exposures'!$A$19:$A$27, 0)), "")</f>
        <v>1.7314212328767124E-2</v>
      </c>
      <c r="T10" s="316">
        <f>IFERROR(INDEX('Dermal Exposures'!$N$19:$N$27, MATCH('1,1-DCA_test order_max_OP'!$C$2, 'Dermal Exposures'!$A$19:$A$27, 0)), "")</f>
        <v>8.8790832455216007E-3</v>
      </c>
      <c r="V10" s="67"/>
    </row>
    <row r="11" spans="2:22" ht="15.75" x14ac:dyDescent="0.25">
      <c r="C11" s="88" t="s">
        <v>28</v>
      </c>
      <c r="D11" s="594"/>
      <c r="E11" s="316">
        <f>INDEX('Inhalation Exposures'!$I$50:$I$58, MATCH('1,1-DCA_test order_max_OP'!$C$2, 'Inhalation Exposures'!$A$50:$A$58, 0))</f>
        <v>4.5661979166666672E-3</v>
      </c>
      <c r="F11" s="316">
        <f>INDEX('Inhalation Exposures'!$K$50:$K$58, MATCH('1,1-DCA_test order_max_OP'!$C$2, 'Inhalation Exposures'!$A$50:$A$58, 0))</f>
        <v>3.106257086167801E-3</v>
      </c>
      <c r="G11" s="316">
        <f>INDEX('Inhalation Exposures'!$M$50:$M$58, MATCH('1,1-DCA_test order_max_OP'!$C$2, 'Inhalation Exposures'!$A$50:$A$58, 0))</f>
        <v>2.2779218631897207E-3</v>
      </c>
      <c r="H11" s="316">
        <f>INDEX('Inhalation Exposures'!$O$50:$O$58, MATCH('1,1-DCA_test order_max_OP'!$C$2, 'Inhalation Exposures'!$A$50:$A$58, 0))</f>
        <v>2.1275733466902744E-3</v>
      </c>
      <c r="I11" s="316">
        <f>INDEX('Inhalation Exposures'!$Q$50:$Q$58, MATCH('1,1-DCA_test order_max_OP'!$C$2, 'Inhalation Exposures'!$A$50:$A$58, 0))</f>
        <v>1.0910632547129612E-3</v>
      </c>
      <c r="J11" s="89"/>
      <c r="K11" s="89"/>
      <c r="L11" s="89"/>
      <c r="M11" s="89"/>
      <c r="N11" s="595"/>
      <c r="O11" s="412" t="s">
        <v>27</v>
      </c>
      <c r="P11" s="316">
        <f>IFERROR(INDEX('Dermal Exposures'!$O$19:$O$27, MATCH('1,1-DCA_test order_max_OP'!$C$2, 'Dermal Exposures'!$A$19:$A$27, 0)), "")</f>
        <v>0.67410000000000003</v>
      </c>
      <c r="Q11" s="316">
        <f>IFERROR(INDEX('Dermal Exposures'!$P$19:$P$27, MATCH('1,1-DCA_test order_max_OP'!$C$2, 'Dermal Exposures'!$A$19:$A$27, 0)), "")</f>
        <v>8.4262499999999997E-3</v>
      </c>
      <c r="R11" s="316">
        <f>IFERROR(INDEX('Dermal Exposures'!$Q$19:$Q$27, MATCH('1,1-DCA_test order_max_OP'!$C$2, 'Dermal Exposures'!$A$19:$A$27, 0)), "")</f>
        <v>6.1792499999999998E-3</v>
      </c>
      <c r="S11" s="316">
        <f>IFERROR(INDEX('Dermal Exposures'!$R$19:$R$27, MATCH('1,1-DCA_test order_max_OP'!$C$2, 'Dermal Exposures'!$A$19:$A$27, 0)), "")</f>
        <v>5.7714041095890409E-3</v>
      </c>
      <c r="T11" s="316">
        <f>IFERROR(INDEX('Dermal Exposures'!$S$19:$S$27, MATCH('1,1-DCA_test order_max_OP'!$C$2, 'Dermal Exposures'!$A$19:$A$27, 0)), "")</f>
        <v>2.2937631717597469E-3</v>
      </c>
      <c r="V11" s="67"/>
    </row>
    <row r="12" spans="2:22" ht="15.75" x14ac:dyDescent="0.25">
      <c r="C12" s="88" t="s">
        <v>30</v>
      </c>
      <c r="D12" s="591" t="s">
        <v>27</v>
      </c>
      <c r="E12" s="316">
        <f>INDEX('Inhalation Exposures'!$J$37:$J$44, MATCH('1,1-DCA_test order_max_OP'!$C$2, 'Inhalation Exposures'!$A$37:$A$44, 0))</f>
        <v>1.5583333333333334E-3</v>
      </c>
      <c r="F12" s="316">
        <f>INDEX('Inhalation Exposures'!$L$37:$L$44, MATCH('1,1-DCA_test order_max_OP'!$C$2, 'Inhalation Exposures'!$A$37:$A$44, 0))</f>
        <v>1.0600907029478458E-3</v>
      </c>
      <c r="G12" s="316">
        <f>INDEX('Inhalation Exposures'!$N$37:$N$44, MATCH('1,1-DCA_test order_max_OP'!$C$2, 'Inhalation Exposures'!$A$37:$A$44, 0))</f>
        <v>7.7739984882842033E-4</v>
      </c>
      <c r="H12" s="316">
        <f>INDEX('Inhalation Exposures'!$P$37:$P$44, MATCH('1,1-DCA_test order_max_OP'!$C$2, 'Inhalation Exposures'!$A$37:$A$44, 0))</f>
        <v>7.2608952256701773E-4</v>
      </c>
      <c r="I12" s="316">
        <f>INDEX('Inhalation Exposures'!$R$37:$R$44, MATCH('1,1-DCA_test order_max_OP'!$C$2, 'Inhalation Exposures'!$A$37:$A$44, 0))</f>
        <v>2.8857404102022497E-4</v>
      </c>
      <c r="J12" s="89"/>
      <c r="K12" s="89"/>
      <c r="L12" s="89"/>
      <c r="M12" s="89"/>
      <c r="N12" s="565" t="str">
        <f>_xlfn.CONCAT("Worker with Gloves; 
PF of ",'List Values'!$B$16)</f>
        <v>Worker with Gloves; 
PF of 5</v>
      </c>
      <c r="O12" s="71" t="s">
        <v>103</v>
      </c>
      <c r="P12" s="316">
        <f>P10/'List Values'!$B$16</f>
        <v>0.40445999999999999</v>
      </c>
      <c r="Q12" s="316">
        <f>Q10/'List Values'!$B$16</f>
        <v>5.0557499999999995E-3</v>
      </c>
      <c r="R12" s="316">
        <f>R10/'List Values'!$B$16</f>
        <v>3.7075500000000004E-3</v>
      </c>
      <c r="S12" s="316">
        <f>S10/'List Values'!$B$16</f>
        <v>3.4628424657534248E-3</v>
      </c>
      <c r="T12" s="316">
        <f>T10/'List Values'!$B$16</f>
        <v>1.7758166491043201E-3</v>
      </c>
      <c r="U12" s="67"/>
    </row>
    <row r="13" spans="2:22" ht="15.75" x14ac:dyDescent="0.25">
      <c r="C13" s="88" t="s">
        <v>28</v>
      </c>
      <c r="D13" s="591"/>
      <c r="E13" s="316">
        <f>INDEX('Inhalation Exposures'!$J$50:$J$58, MATCH('1,1-DCA_test order_max_OP'!$C$2, 'Inhalation Exposures'!$A$50:$A$58, 0))</f>
        <v>6.9401041666666667E-5</v>
      </c>
      <c r="F13" s="316">
        <f>INDEX('Inhalation Exposures'!$L$50:$L$58, MATCH('1,1-DCA_test order_max_OP'!$C$2, 'Inhalation Exposures'!$A$50:$A$58, 0))</f>
        <v>4.721159297052154E-5</v>
      </c>
      <c r="G13" s="316">
        <f>INDEX('Inhalation Exposures'!$N$50:$N$58, MATCH('1,1-DCA_test order_max_OP'!$C$2, 'Inhalation Exposures'!$A$50:$A$58, 0))</f>
        <v>3.4621834845049136E-5</v>
      </c>
      <c r="H13" s="316">
        <f>INDEX('Inhalation Exposures'!$P$50:$P$58, MATCH('1,1-DCA_test order_max_OP'!$C$2, 'Inhalation Exposures'!$A$50:$A$58, 0))</f>
        <v>3.233670751405585E-5</v>
      </c>
      <c r="I13" s="316">
        <f>INDEX('Inhalation Exposures'!$R$50:$R$58, MATCH('1,1-DCA_test order_max_OP'!$C$2, 'Inhalation Exposures'!$A$50:$A$58, 0))</f>
        <v>1.2851768370970914E-5</v>
      </c>
      <c r="J13" s="89"/>
      <c r="K13" s="89"/>
      <c r="L13" s="89"/>
      <c r="M13" s="89"/>
      <c r="N13" s="565"/>
      <c r="O13" s="71" t="s">
        <v>27</v>
      </c>
      <c r="P13" s="316">
        <f>P11/'List Values'!$B$16</f>
        <v>0.13482</v>
      </c>
      <c r="Q13" s="316">
        <f>Q11/'List Values'!$B$16</f>
        <v>1.6852499999999999E-3</v>
      </c>
      <c r="R13" s="316">
        <f>R11/'List Values'!$B$16</f>
        <v>1.2358499999999999E-3</v>
      </c>
      <c r="S13" s="316">
        <f>S11/'List Values'!$B$16</f>
        <v>1.1542808219178083E-3</v>
      </c>
      <c r="T13" s="316">
        <f>T11/'List Values'!$B$16</f>
        <v>4.5875263435194937E-4</v>
      </c>
      <c r="U13" s="67"/>
    </row>
    <row r="14" spans="2:22" x14ac:dyDescent="0.2">
      <c r="N14" s="565" t="str">
        <f>_xlfn.CONCAT("Worker with Gloves; 
PF of ",'List Values'!$B$17)</f>
        <v>Worker with Gloves; 
PF of 10</v>
      </c>
      <c r="O14" s="71" t="s">
        <v>103</v>
      </c>
      <c r="P14" s="316">
        <f>P10/'List Values'!$B$17</f>
        <v>0.20222999999999999</v>
      </c>
      <c r="Q14" s="316">
        <f>Q10/'List Values'!$B$17</f>
        <v>2.5278749999999997E-3</v>
      </c>
      <c r="R14" s="316">
        <f>R10/'List Values'!$B$17</f>
        <v>1.8537750000000002E-3</v>
      </c>
      <c r="S14" s="316">
        <f>S10/'List Values'!$B$17</f>
        <v>1.7314212328767124E-3</v>
      </c>
      <c r="T14" s="316">
        <f>T10/'List Values'!$B$17</f>
        <v>8.8790832455216007E-4</v>
      </c>
    </row>
    <row r="15" spans="2:22" ht="21" x14ac:dyDescent="0.35">
      <c r="C15" s="83" t="s">
        <v>105</v>
      </c>
      <c r="N15" s="565"/>
      <c r="O15" s="71" t="s">
        <v>27</v>
      </c>
      <c r="P15" s="316">
        <f>P11/'List Values'!$B$17</f>
        <v>6.7409999999999998E-2</v>
      </c>
      <c r="Q15" s="316">
        <f>Q11/'List Values'!$B$17</f>
        <v>8.4262499999999995E-4</v>
      </c>
      <c r="R15" s="316">
        <f>R11/'List Values'!$B$17</f>
        <v>6.1792499999999996E-4</v>
      </c>
      <c r="S15" s="316">
        <f>S11/'List Values'!$B$17</f>
        <v>5.7714041095890413E-4</v>
      </c>
      <c r="T15" s="316">
        <f>T11/'List Values'!$B$17</f>
        <v>2.2937631717597469E-4</v>
      </c>
    </row>
    <row r="16" spans="2:22" ht="28.5" customHeight="1" x14ac:dyDescent="0.2">
      <c r="B16" s="70"/>
      <c r="C16" s="568" t="s">
        <v>106</v>
      </c>
      <c r="D16" s="568" t="s">
        <v>107</v>
      </c>
      <c r="E16" s="568" t="s">
        <v>23</v>
      </c>
      <c r="F16" s="568" t="s">
        <v>108</v>
      </c>
      <c r="G16" s="568" t="s">
        <v>109</v>
      </c>
      <c r="H16" s="568"/>
      <c r="I16" s="90"/>
      <c r="J16" s="90"/>
      <c r="K16" s="90"/>
      <c r="L16" s="90"/>
      <c r="M16" s="90"/>
      <c r="N16" s="565" t="str">
        <f>_xlfn.CONCAT("Worker with Gloves; 
PF of ",'List Values'!$B$18)</f>
        <v>Worker with Gloves; 
PF of 20</v>
      </c>
      <c r="O16" s="71" t="s">
        <v>103</v>
      </c>
      <c r="P16" s="316">
        <f>P10/'List Values'!$B$18</f>
        <v>0.101115</v>
      </c>
      <c r="Q16" s="316">
        <f>Q10/'List Values'!$B$18</f>
        <v>1.2639374999999999E-3</v>
      </c>
      <c r="R16" s="316">
        <f>R10/'List Values'!$B$18</f>
        <v>9.2688750000000011E-4</v>
      </c>
      <c r="S16" s="316">
        <f>S10/'List Values'!$B$18</f>
        <v>8.657106164383562E-4</v>
      </c>
      <c r="T16" s="316">
        <f>T10/'List Values'!$B$18</f>
        <v>4.4395416227608004E-4</v>
      </c>
    </row>
    <row r="17" spans="2:20" ht="26.1" customHeight="1" x14ac:dyDescent="0.2">
      <c r="B17" s="70"/>
      <c r="C17" s="568"/>
      <c r="D17" s="568"/>
      <c r="E17" s="568"/>
      <c r="F17" s="568"/>
      <c r="G17" s="413" t="s">
        <v>110</v>
      </c>
      <c r="H17" s="413" t="s">
        <v>111</v>
      </c>
      <c r="I17" s="90"/>
      <c r="J17" s="90"/>
      <c r="K17" s="90"/>
      <c r="L17" s="90"/>
      <c r="M17" s="90"/>
      <c r="N17" s="565"/>
      <c r="O17" s="71" t="s">
        <v>27</v>
      </c>
      <c r="P17" s="316">
        <f>P11/'List Values'!$B$18</f>
        <v>3.3704999999999999E-2</v>
      </c>
      <c r="Q17" s="316">
        <f>Q11/'List Values'!$B$18</f>
        <v>4.2131249999999997E-4</v>
      </c>
      <c r="R17" s="316">
        <f>R11/'List Values'!$B$18</f>
        <v>3.0896249999999998E-4</v>
      </c>
      <c r="S17" s="316">
        <f>S11/'List Values'!$B$18</f>
        <v>2.8857020547945207E-4</v>
      </c>
      <c r="T17" s="316">
        <f>T11/'List Values'!$B$18</f>
        <v>1.1468815858798734E-4</v>
      </c>
    </row>
    <row r="18" spans="2:20" ht="27.6" customHeight="1" x14ac:dyDescent="0.2">
      <c r="B18" s="70"/>
      <c r="C18" s="587" t="s">
        <v>112</v>
      </c>
      <c r="D18" s="580">
        <f>INDEX('Health Data'!$G:$G,MATCH($C$2,'Health Data'!$B:$B,0))</f>
        <v>2.4163399353274051</v>
      </c>
      <c r="E18" s="71" t="s">
        <v>103</v>
      </c>
      <c r="F18" s="412">
        <v>30</v>
      </c>
      <c r="G18" s="101">
        <f>D18/$F$10</f>
        <v>394.24905387018845</v>
      </c>
      <c r="H18" s="102">
        <f>D18/$F$11</f>
        <v>777.89438166190268</v>
      </c>
      <c r="I18" s="77"/>
      <c r="J18" s="77"/>
      <c r="K18" s="77"/>
      <c r="L18" s="77"/>
      <c r="M18" s="77"/>
    </row>
    <row r="19" spans="2:20" ht="25.5" customHeight="1" x14ac:dyDescent="0.35">
      <c r="B19" s="70"/>
      <c r="C19" s="588"/>
      <c r="D19" s="555"/>
      <c r="E19" s="71" t="s">
        <v>27</v>
      </c>
      <c r="F19" s="412">
        <v>30</v>
      </c>
      <c r="G19" s="101">
        <f>D18/$F$12</f>
        <v>2279.3709336457446</v>
      </c>
      <c r="H19" s="102">
        <f>D18/$F$13</f>
        <v>51181.071920961112</v>
      </c>
      <c r="I19" s="77"/>
      <c r="J19" s="77"/>
      <c r="K19" s="77"/>
      <c r="L19" s="77"/>
      <c r="M19" s="77"/>
      <c r="N19" s="83" t="s">
        <v>113</v>
      </c>
    </row>
    <row r="20" spans="2:20" ht="25.5" x14ac:dyDescent="0.2">
      <c r="B20" s="73"/>
      <c r="C20" s="74"/>
      <c r="D20" s="96"/>
      <c r="E20" s="76"/>
      <c r="F20" s="75"/>
      <c r="G20" s="77"/>
      <c r="H20" s="77"/>
      <c r="I20" s="77"/>
      <c r="J20" s="77"/>
      <c r="K20" s="77"/>
      <c r="L20" s="77"/>
      <c r="M20" s="77"/>
      <c r="N20" s="570" t="s">
        <v>106</v>
      </c>
      <c r="O20" s="570" t="s">
        <v>114</v>
      </c>
      <c r="P20" s="570" t="s">
        <v>23</v>
      </c>
      <c r="Q20" s="570" t="s">
        <v>108</v>
      </c>
      <c r="R20" s="411" t="s">
        <v>109</v>
      </c>
    </row>
    <row r="21" spans="2:20" ht="25.5" customHeight="1" x14ac:dyDescent="0.2">
      <c r="B21" s="73"/>
      <c r="C21" s="98" t="s">
        <v>115</v>
      </c>
      <c r="D21" s="96"/>
      <c r="E21" s="76"/>
      <c r="F21" s="75"/>
      <c r="G21" s="77"/>
      <c r="H21" s="77"/>
      <c r="I21" s="77"/>
      <c r="J21" s="77"/>
      <c r="K21" s="77"/>
      <c r="L21" s="77"/>
      <c r="M21" s="77"/>
      <c r="N21" s="571"/>
      <c r="O21" s="571"/>
      <c r="P21" s="571"/>
      <c r="Q21" s="571"/>
      <c r="R21" s="422" t="s">
        <v>116</v>
      </c>
    </row>
    <row r="22" spans="2:20" ht="25.5" customHeight="1" x14ac:dyDescent="0.2">
      <c r="B22" s="73"/>
      <c r="C22" s="568" t="s">
        <v>106</v>
      </c>
      <c r="D22" s="568" t="s">
        <v>107</v>
      </c>
      <c r="E22" s="569" t="s">
        <v>23</v>
      </c>
      <c r="F22" s="568" t="s">
        <v>108</v>
      </c>
      <c r="G22" s="568" t="s">
        <v>117</v>
      </c>
      <c r="H22" s="568"/>
      <c r="I22" s="77"/>
      <c r="J22" s="77"/>
      <c r="K22" s="77"/>
      <c r="L22" s="77"/>
      <c r="M22" s="77"/>
      <c r="N22" s="587" t="s">
        <v>118</v>
      </c>
      <c r="O22" s="589">
        <f>INDEX('Health Data'!$K:$K,MATCH($C$2,'Health Data'!$B:$B,0))</f>
        <v>19.899999999999999</v>
      </c>
      <c r="P22" s="72" t="s">
        <v>103</v>
      </c>
      <c r="Q22" s="412">
        <v>30</v>
      </c>
      <c r="R22" s="101">
        <f>IFERROR(O22/Q10, "")</f>
        <v>787.22246946546011</v>
      </c>
    </row>
    <row r="23" spans="2:20" ht="25.5" customHeight="1" x14ac:dyDescent="0.2">
      <c r="B23" s="73"/>
      <c r="C23" s="582"/>
      <c r="D23" s="582"/>
      <c r="E23" s="586"/>
      <c r="F23" s="582"/>
      <c r="G23" s="415" t="s">
        <v>110</v>
      </c>
      <c r="H23" s="415" t="s">
        <v>111</v>
      </c>
      <c r="I23" s="77"/>
      <c r="J23" s="77"/>
      <c r="K23" s="77"/>
      <c r="L23" s="77"/>
      <c r="M23" s="77"/>
      <c r="N23" s="588"/>
      <c r="O23" s="590"/>
      <c r="P23" s="72" t="s">
        <v>27</v>
      </c>
      <c r="Q23" s="412">
        <v>30</v>
      </c>
      <c r="R23" s="101">
        <f>IFERROR(O22/Q11, "")</f>
        <v>2361.6674083963803</v>
      </c>
    </row>
    <row r="24" spans="2:20" ht="25.5" customHeight="1" x14ac:dyDescent="0.2">
      <c r="B24" s="73"/>
      <c r="C24" s="577" t="s">
        <v>149</v>
      </c>
      <c r="D24" s="578">
        <v>22</v>
      </c>
      <c r="E24" s="71" t="s">
        <v>103</v>
      </c>
      <c r="F24" s="412">
        <v>30</v>
      </c>
      <c r="G24" s="419">
        <f>D24/$G$10</f>
        <v>4894.7879572677239</v>
      </c>
      <c r="H24" s="419">
        <f>D24/$G$11</f>
        <v>9657.925653865017</v>
      </c>
      <c r="I24" s="77"/>
      <c r="J24" s="77"/>
      <c r="K24" s="77"/>
      <c r="L24" s="77"/>
      <c r="M24" s="77"/>
      <c r="N24" s="74"/>
      <c r="O24" s="75"/>
      <c r="P24" s="81"/>
      <c r="Q24" s="75"/>
      <c r="R24" s="77"/>
    </row>
    <row r="25" spans="2:20" ht="25.5" customHeight="1" thickBot="1" x14ac:dyDescent="0.25">
      <c r="B25" s="73"/>
      <c r="C25" s="577"/>
      <c r="D25" s="559"/>
      <c r="E25" s="71" t="s">
        <v>27</v>
      </c>
      <c r="F25" s="412">
        <v>30</v>
      </c>
      <c r="G25" s="419">
        <f>D24/$G$12</f>
        <v>28299.465240641708</v>
      </c>
      <c r="H25" s="419">
        <f>D24/$G$13</f>
        <v>635437.14821763593</v>
      </c>
      <c r="I25" s="77"/>
      <c r="J25" s="77"/>
      <c r="K25" s="77"/>
      <c r="L25" s="77"/>
      <c r="M25" s="77"/>
      <c r="N25" s="97" t="s">
        <v>120</v>
      </c>
      <c r="O25" s="75"/>
      <c r="P25" s="81"/>
      <c r="Q25" s="75"/>
      <c r="R25" s="77"/>
    </row>
    <row r="26" spans="2:20" ht="38.25" x14ac:dyDescent="0.2">
      <c r="B26" s="73"/>
      <c r="C26" s="74"/>
      <c r="D26" s="96"/>
      <c r="E26" s="76"/>
      <c r="F26" s="75"/>
      <c r="G26" s="77"/>
      <c r="H26" s="77"/>
      <c r="I26" s="77"/>
      <c r="J26" s="77"/>
      <c r="K26" s="77"/>
      <c r="L26" s="77"/>
      <c r="M26" s="77"/>
      <c r="N26" s="568" t="s">
        <v>106</v>
      </c>
      <c r="O26" s="568" t="s">
        <v>121</v>
      </c>
      <c r="P26" s="569" t="s">
        <v>23</v>
      </c>
      <c r="Q26" s="568" t="s">
        <v>108</v>
      </c>
      <c r="R26" s="413" t="s">
        <v>117</v>
      </c>
    </row>
    <row r="27" spans="2:20" s="85" customFormat="1" ht="25.5" x14ac:dyDescent="0.35">
      <c r="B27" s="83"/>
      <c r="C27" s="83" t="s">
        <v>122</v>
      </c>
      <c r="F27" s="86"/>
      <c r="N27" s="568"/>
      <c r="O27" s="568"/>
      <c r="P27" s="569"/>
      <c r="Q27" s="568"/>
      <c r="R27" s="413" t="s">
        <v>116</v>
      </c>
      <c r="S27" s="66"/>
      <c r="T27" s="66"/>
    </row>
    <row r="28" spans="2:20" ht="26.1" customHeight="1" x14ac:dyDescent="0.2">
      <c r="B28" s="79"/>
      <c r="C28" s="568" t="s">
        <v>106</v>
      </c>
      <c r="D28" s="568" t="s">
        <v>107</v>
      </c>
      <c r="E28" s="568" t="s">
        <v>23</v>
      </c>
      <c r="F28" s="568" t="s">
        <v>108</v>
      </c>
      <c r="G28" s="568" t="s">
        <v>123</v>
      </c>
      <c r="H28" s="568"/>
      <c r="I28" s="90"/>
      <c r="J28" s="90"/>
      <c r="K28" s="90"/>
      <c r="L28" s="90"/>
      <c r="M28" s="90"/>
      <c r="N28" s="579" t="s">
        <v>124</v>
      </c>
      <c r="O28" s="580">
        <f>INDEX('Health Data'!$T:$T,MATCH($C$2,'Health Data'!$B:$B,0))</f>
        <v>6.5</v>
      </c>
      <c r="P28" s="72" t="s">
        <v>103</v>
      </c>
      <c r="Q28" s="412">
        <v>30</v>
      </c>
      <c r="R28" s="107">
        <f>IFERROR(O28/$R$10, "")</f>
        <v>350.6358646545562</v>
      </c>
    </row>
    <row r="29" spans="2:20" x14ac:dyDescent="0.2">
      <c r="B29" s="79"/>
      <c r="C29" s="568"/>
      <c r="D29" s="568"/>
      <c r="E29" s="568"/>
      <c r="F29" s="568"/>
      <c r="G29" s="413" t="s">
        <v>110</v>
      </c>
      <c r="H29" s="413" t="s">
        <v>111</v>
      </c>
      <c r="I29" s="90"/>
      <c r="J29" s="90"/>
      <c r="K29" s="90"/>
      <c r="L29" s="90"/>
      <c r="M29" s="90"/>
      <c r="N29" s="579"/>
      <c r="O29" s="555"/>
      <c r="P29" s="72" t="s">
        <v>27</v>
      </c>
      <c r="Q29" s="412">
        <v>30</v>
      </c>
      <c r="R29" s="107">
        <f>IFERROR(O28/$R$11, "")</f>
        <v>1051.9075939636687</v>
      </c>
    </row>
    <row r="30" spans="2:20" ht="33" customHeight="1" x14ac:dyDescent="0.2">
      <c r="B30" s="79"/>
      <c r="C30" s="577" t="s">
        <v>149</v>
      </c>
      <c r="D30" s="578">
        <f>INDEX('Health Data'!$P:$P,MATCH($C$2,'Health Data'!$B:$B,0))</f>
        <v>5.2378738884397729</v>
      </c>
      <c r="E30" s="72" t="s">
        <v>103</v>
      </c>
      <c r="F30" s="412">
        <v>300</v>
      </c>
      <c r="G30" s="419">
        <f>D30/$H$10</f>
        <v>1247.7297255000071</v>
      </c>
      <c r="H30" s="419">
        <f>D30/$H$11</f>
        <v>2461.9005011451136</v>
      </c>
      <c r="I30" s="77"/>
      <c r="J30" s="77"/>
      <c r="K30" s="77"/>
      <c r="L30" s="77"/>
      <c r="M30" s="77"/>
      <c r="N30" s="74"/>
      <c r="O30" s="75"/>
      <c r="P30" s="81"/>
      <c r="Q30" s="75"/>
      <c r="R30" s="77"/>
    </row>
    <row r="31" spans="2:20" ht="33" customHeight="1" x14ac:dyDescent="0.35">
      <c r="B31" s="79"/>
      <c r="C31" s="577"/>
      <c r="D31" s="559"/>
      <c r="E31" s="72" t="s">
        <v>27</v>
      </c>
      <c r="F31" s="412">
        <v>300</v>
      </c>
      <c r="G31" s="419">
        <f>D30/$H$12</f>
        <v>7213.812795317288</v>
      </c>
      <c r="H31" s="419">
        <f>D30/$H$13</f>
        <v>161979.19612449777</v>
      </c>
      <c r="I31" s="77"/>
      <c r="J31" s="77"/>
      <c r="K31" s="77"/>
      <c r="L31" s="77"/>
      <c r="M31" s="77"/>
      <c r="N31" s="83" t="s">
        <v>125</v>
      </c>
      <c r="O31" s="85"/>
      <c r="P31" s="85"/>
      <c r="Q31" s="85"/>
      <c r="R31" s="85"/>
      <c r="S31" s="85"/>
      <c r="T31" s="85"/>
    </row>
    <row r="32" spans="2:20" ht="25.5" x14ac:dyDescent="0.2">
      <c r="B32" s="79"/>
      <c r="C32" s="80"/>
      <c r="D32" s="75"/>
      <c r="E32" s="81"/>
      <c r="F32" s="75"/>
      <c r="G32" s="77"/>
      <c r="H32" s="77"/>
      <c r="I32" s="77"/>
      <c r="J32" s="77"/>
      <c r="K32" s="77"/>
      <c r="L32" s="77"/>
      <c r="M32" s="77"/>
      <c r="N32" s="566" t="s">
        <v>106</v>
      </c>
      <c r="O32" s="566" t="s">
        <v>121</v>
      </c>
      <c r="P32" s="566" t="s">
        <v>23</v>
      </c>
      <c r="Q32" s="566" t="s">
        <v>108</v>
      </c>
      <c r="R32" s="411" t="s">
        <v>123</v>
      </c>
    </row>
    <row r="33" spans="2:20" ht="33" customHeight="1" x14ac:dyDescent="0.35">
      <c r="B33" s="79"/>
      <c r="C33" s="83" t="s">
        <v>126</v>
      </c>
      <c r="D33" s="85"/>
      <c r="E33" s="85"/>
      <c r="F33" s="85"/>
      <c r="G33" s="85"/>
      <c r="H33" s="85"/>
      <c r="I33" s="77"/>
      <c r="J33" s="77"/>
      <c r="K33" s="77"/>
      <c r="L33" s="77"/>
      <c r="M33" s="77"/>
      <c r="N33" s="581"/>
      <c r="O33" s="567"/>
      <c r="P33" s="567"/>
      <c r="Q33" s="567"/>
      <c r="R33" s="411" t="s">
        <v>116</v>
      </c>
    </row>
    <row r="34" spans="2:20" ht="33" customHeight="1" x14ac:dyDescent="0.2">
      <c r="B34" s="79"/>
      <c r="C34" s="582" t="s">
        <v>127</v>
      </c>
      <c r="D34" s="566" t="s">
        <v>128</v>
      </c>
      <c r="E34" s="566" t="s">
        <v>23</v>
      </c>
      <c r="F34" s="583" t="s">
        <v>129</v>
      </c>
      <c r="G34" s="568" t="s">
        <v>130</v>
      </c>
      <c r="H34" s="568"/>
      <c r="I34" s="77"/>
      <c r="J34" s="77"/>
      <c r="K34" s="77"/>
      <c r="L34" s="77"/>
      <c r="M34" s="77"/>
      <c r="N34" s="579" t="s">
        <v>124</v>
      </c>
      <c r="O34" s="580">
        <f>INDEX('Health Data'!$T:$T,MATCH($C$2,'Health Data'!$B:$B,0))</f>
        <v>6.5</v>
      </c>
      <c r="P34" s="72" t="s">
        <v>103</v>
      </c>
      <c r="Q34" s="412">
        <v>300</v>
      </c>
      <c r="R34" s="107">
        <f>IFERROR(O34/$S$10, "")</f>
        <v>375.41413242347824</v>
      </c>
    </row>
    <row r="35" spans="2:20" ht="33" customHeight="1" x14ac:dyDescent="0.2">
      <c r="B35" s="79"/>
      <c r="C35" s="530"/>
      <c r="D35" s="567"/>
      <c r="E35" s="567"/>
      <c r="F35" s="584"/>
      <c r="G35" s="413" t="s">
        <v>131</v>
      </c>
      <c r="H35" s="413" t="s">
        <v>28</v>
      </c>
      <c r="I35" s="77"/>
      <c r="J35" s="77"/>
      <c r="K35" s="77"/>
      <c r="L35" s="77"/>
      <c r="M35" s="77"/>
      <c r="N35" s="579"/>
      <c r="O35" s="555"/>
      <c r="P35" s="72" t="s">
        <v>27</v>
      </c>
      <c r="Q35" s="412">
        <v>300</v>
      </c>
      <c r="R35" s="107">
        <f>IFERROR(O34/$S$11, "")</f>
        <v>1126.2423972704346</v>
      </c>
    </row>
    <row r="36" spans="2:20" ht="33" customHeight="1" x14ac:dyDescent="0.2">
      <c r="B36" s="79"/>
      <c r="C36" s="572" t="s">
        <v>132</v>
      </c>
      <c r="D36" s="574">
        <f>INDEX('Health Data'!$Y:$Y,MATCH($C$2,'Health Data'!$B:$B,0))</f>
        <v>2.8736850715746418E-2</v>
      </c>
      <c r="E36" s="71" t="s">
        <v>103</v>
      </c>
      <c r="F36" s="107">
        <v>1E-4</v>
      </c>
      <c r="G36" s="103">
        <f>I10*D36</f>
        <v>6.1864153760391534E-5</v>
      </c>
      <c r="H36" s="104">
        <f>I11*D36</f>
        <v>3.1353721872122776E-5</v>
      </c>
      <c r="I36" s="77"/>
      <c r="J36" s="77"/>
      <c r="K36" s="77"/>
      <c r="L36" s="77"/>
      <c r="M36" s="77"/>
    </row>
    <row r="37" spans="2:20" ht="33" customHeight="1" x14ac:dyDescent="0.35">
      <c r="B37" s="79"/>
      <c r="C37" s="573"/>
      <c r="D37" s="575"/>
      <c r="E37" s="71" t="s">
        <v>27</v>
      </c>
      <c r="F37" s="107">
        <v>1E-4</v>
      </c>
      <c r="G37" s="105">
        <f>I12*D36</f>
        <v>8.2927091372378882E-6</v>
      </c>
      <c r="H37" s="104">
        <f>I13*D36</f>
        <v>3.693193491099427E-7</v>
      </c>
      <c r="I37" s="77"/>
      <c r="J37" s="77"/>
      <c r="K37" s="77"/>
      <c r="L37" s="77"/>
      <c r="M37" s="77"/>
      <c r="N37" s="83" t="s">
        <v>126</v>
      </c>
      <c r="O37" s="85"/>
      <c r="P37" s="85"/>
      <c r="Q37" s="85"/>
      <c r="R37" s="85"/>
    </row>
    <row r="38" spans="2:20" ht="33" customHeight="1" x14ac:dyDescent="0.2">
      <c r="B38" s="79"/>
      <c r="I38" s="77"/>
      <c r="J38" s="77"/>
      <c r="K38" s="77"/>
      <c r="L38" s="77"/>
      <c r="M38" s="77"/>
      <c r="N38" s="566" t="s">
        <v>127</v>
      </c>
      <c r="O38" s="566" t="s">
        <v>133</v>
      </c>
      <c r="P38" s="566" t="s">
        <v>23</v>
      </c>
      <c r="Q38" s="566" t="s">
        <v>129</v>
      </c>
      <c r="R38" s="411" t="s">
        <v>130</v>
      </c>
    </row>
    <row r="39" spans="2:20" ht="33" customHeight="1" x14ac:dyDescent="0.35">
      <c r="B39" s="79"/>
      <c r="C39" s="83" t="s">
        <v>134</v>
      </c>
      <c r="I39" s="77"/>
      <c r="J39" s="77"/>
      <c r="K39" s="77"/>
      <c r="L39" s="77"/>
      <c r="M39" s="77"/>
      <c r="N39" s="567"/>
      <c r="O39" s="567"/>
      <c r="P39" s="567"/>
      <c r="Q39" s="567"/>
      <c r="R39" s="411" t="s">
        <v>135</v>
      </c>
    </row>
    <row r="40" spans="2:20" ht="33" customHeight="1" thickBot="1" x14ac:dyDescent="0.4">
      <c r="B40" s="79"/>
      <c r="C40" s="83"/>
      <c r="I40" s="77"/>
      <c r="J40" s="77"/>
      <c r="K40" s="77"/>
      <c r="L40" s="77"/>
      <c r="M40" s="77"/>
      <c r="N40" s="572" t="s">
        <v>156</v>
      </c>
      <c r="O40" s="574" t="str">
        <f>INDEX('Health Data'!$AB:$AB,MATCH($C$2,'Health Data'!$B:$B,0))</f>
        <v>Not Quantified</v>
      </c>
      <c r="P40" s="71" t="s">
        <v>103</v>
      </c>
      <c r="Q40" s="597"/>
      <c r="R40" s="107" t="str">
        <f>IFERROR(T10*O40, "")</f>
        <v/>
      </c>
    </row>
    <row r="41" spans="2:20" ht="33" customHeight="1" x14ac:dyDescent="0.25">
      <c r="B41" s="79"/>
      <c r="C41" s="325" t="s">
        <v>136</v>
      </c>
      <c r="I41" s="77"/>
      <c r="J41" s="77"/>
      <c r="K41" s="77"/>
      <c r="L41" s="77"/>
      <c r="M41" s="77"/>
      <c r="N41" s="576"/>
      <c r="O41" s="575"/>
      <c r="P41" s="71" t="s">
        <v>27</v>
      </c>
      <c r="Q41" s="596"/>
      <c r="R41" s="107" t="str">
        <f>IFERROR(T11*O40, "")</f>
        <v/>
      </c>
    </row>
    <row r="42" spans="2:20" ht="33" customHeight="1" thickBot="1" x14ac:dyDescent="0.3">
      <c r="B42" s="79"/>
      <c r="C42" s="326" t="s">
        <v>30</v>
      </c>
      <c r="I42" s="77"/>
      <c r="J42" s="77"/>
      <c r="K42" s="77"/>
      <c r="L42" s="77"/>
      <c r="M42" s="77"/>
    </row>
    <row r="43" spans="2:20" ht="33" customHeight="1" x14ac:dyDescent="0.35">
      <c r="B43" s="79"/>
      <c r="C43" s="317"/>
      <c r="I43" s="77"/>
      <c r="J43" s="77"/>
      <c r="K43" s="77"/>
      <c r="L43" s="77"/>
      <c r="M43" s="77"/>
      <c r="N43" s="83" t="s">
        <v>137</v>
      </c>
    </row>
    <row r="44" spans="2:20" ht="33" customHeight="1" thickBot="1" x14ac:dyDescent="0.25">
      <c r="B44" s="79"/>
      <c r="I44" s="77"/>
      <c r="J44" s="77"/>
      <c r="K44" s="77"/>
      <c r="L44" s="77"/>
      <c r="M44" s="77"/>
    </row>
    <row r="45" spans="2:20" ht="33" customHeight="1" x14ac:dyDescent="0.2">
      <c r="B45" s="548" t="s">
        <v>138</v>
      </c>
      <c r="C45" s="540" t="s">
        <v>107</v>
      </c>
      <c r="D45" s="540" t="s">
        <v>23</v>
      </c>
      <c r="E45" s="540" t="s">
        <v>108</v>
      </c>
      <c r="F45" s="540" t="str">
        <f>_xlfn.CONCAT("Exposure Estimates: ",$C$42," MOE")</f>
        <v>Exposure Estimates: Worker MOE</v>
      </c>
      <c r="G45" s="540"/>
      <c r="H45" s="540"/>
      <c r="I45" s="540"/>
      <c r="J45" s="540"/>
      <c r="K45" s="542"/>
      <c r="L45" s="77"/>
      <c r="M45" s="77"/>
      <c r="N45" s="532" t="s">
        <v>121</v>
      </c>
      <c r="O45" s="540" t="s">
        <v>23</v>
      </c>
      <c r="P45" s="540" t="s">
        <v>108</v>
      </c>
      <c r="Q45" s="540" t="str">
        <f>_xlfn.CONCAT("Exposure Estimates: ",$C$42," MOE")</f>
        <v>Exposure Estimates: Worker MOE</v>
      </c>
      <c r="R45" s="540"/>
      <c r="S45" s="540"/>
      <c r="T45" s="542"/>
    </row>
    <row r="46" spans="2:20" ht="33" customHeight="1" thickBot="1" x14ac:dyDescent="0.25">
      <c r="B46" s="549"/>
      <c r="C46" s="541"/>
      <c r="D46" s="541"/>
      <c r="E46" s="541"/>
      <c r="F46" s="416" t="s">
        <v>139</v>
      </c>
      <c r="G46" s="416" t="s">
        <v>34</v>
      </c>
      <c r="H46" s="416" t="s">
        <v>35</v>
      </c>
      <c r="I46" s="416" t="s">
        <v>32</v>
      </c>
      <c r="J46" s="416" t="s">
        <v>140</v>
      </c>
      <c r="K46" s="290" t="s">
        <v>31</v>
      </c>
      <c r="L46" s="77"/>
      <c r="M46" s="77"/>
      <c r="N46" s="533"/>
      <c r="O46" s="541"/>
      <c r="P46" s="541"/>
      <c r="Q46" s="318" t="s">
        <v>135</v>
      </c>
      <c r="R46" s="318" t="s">
        <v>33</v>
      </c>
      <c r="S46" s="318" t="s">
        <v>141</v>
      </c>
      <c r="T46" s="319" t="s">
        <v>142</v>
      </c>
    </row>
    <row r="47" spans="2:20" ht="33" customHeight="1" x14ac:dyDescent="0.2">
      <c r="B47" s="550" t="s">
        <v>143</v>
      </c>
      <c r="C47" s="555">
        <f>INDEX('Health Data'!$G:$G,MATCH($C$2,'Health Data'!$B:$B,0))</f>
        <v>2.4163399353274051</v>
      </c>
      <c r="D47" s="292" t="s">
        <v>103</v>
      </c>
      <c r="E47" s="421">
        <v>30</v>
      </c>
      <c r="F47" s="304">
        <f>IFERROR($C47/IF($C$42="Worker",$F$10,$F$11), "")</f>
        <v>394.24905387018845</v>
      </c>
      <c r="G47" s="305">
        <f>IFERROR($F47*'List Values'!$B$9, "")</f>
        <v>3942.4905387018844</v>
      </c>
      <c r="H47" s="305">
        <f>IFERROR($F47*'List Values'!$B$10, "")</f>
        <v>9856.2263467547109</v>
      </c>
      <c r="I47" s="305">
        <f>IFERROR($F47*'List Values'!$B$11, "")</f>
        <v>19712.452693509422</v>
      </c>
      <c r="J47" s="305">
        <f>IFERROR($F47*'List Values'!$B$12, "")</f>
        <v>394249.05387018842</v>
      </c>
      <c r="K47" s="306">
        <f>IFERROR($F47*'List Values'!$B$13, "")</f>
        <v>3942490.5387018844</v>
      </c>
      <c r="L47" s="77"/>
      <c r="M47" s="77"/>
      <c r="N47" s="534">
        <f>INDEX('Health Data'!$K:$K,MATCH($C$2,'Health Data'!$B:$B,0))</f>
        <v>19.899999999999999</v>
      </c>
      <c r="O47" s="292" t="s">
        <v>103</v>
      </c>
      <c r="P47" s="421">
        <v>30</v>
      </c>
      <c r="Q47" s="305">
        <f>IFERROR($N47/Q$10, "")</f>
        <v>787.22246946546011</v>
      </c>
      <c r="R47" s="305">
        <f>IFERROR($N47/$Q$12, "")</f>
        <v>3936.1123473273005</v>
      </c>
      <c r="S47" s="305">
        <f>IFERROR($N47/$Q$14, "")</f>
        <v>7872.2246946546011</v>
      </c>
      <c r="T47" s="306">
        <f>IFERROR($N47/$Q$16, "")</f>
        <v>15744.449389309202</v>
      </c>
    </row>
    <row r="48" spans="2:20" ht="33" customHeight="1" thickBot="1" x14ac:dyDescent="0.25">
      <c r="B48" s="551"/>
      <c r="C48" s="556"/>
      <c r="D48" s="293" t="s">
        <v>27</v>
      </c>
      <c r="E48" s="418">
        <v>30</v>
      </c>
      <c r="F48" s="303">
        <f>IFERROR($C47/IF($C$42="Worker",$F$12,$F$13), "")</f>
        <v>2279.3709336457446</v>
      </c>
      <c r="G48" s="303">
        <f>IFERROR($F48*'List Values'!$B$9, "")</f>
        <v>22793.709336457447</v>
      </c>
      <c r="H48" s="303">
        <f>IFERROR($F48*'List Values'!$B$10, "")</f>
        <v>56984.273341143613</v>
      </c>
      <c r="I48" s="303">
        <f>IFERROR($F48*'List Values'!$B$11, "")</f>
        <v>113968.54668228723</v>
      </c>
      <c r="J48" s="303">
        <f>IFERROR($F48*'List Values'!$B$12, "")</f>
        <v>2279370.9336457443</v>
      </c>
      <c r="K48" s="307">
        <f>IFERROR($F48*'List Values'!$B$13, "")</f>
        <v>22793709.336457446</v>
      </c>
      <c r="L48" s="77"/>
      <c r="M48" s="77"/>
      <c r="N48" s="535"/>
      <c r="O48" s="293" t="s">
        <v>27</v>
      </c>
      <c r="P48" s="418">
        <v>30</v>
      </c>
      <c r="Q48" s="321">
        <f>IFERROR($N47/$Q$11, "")</f>
        <v>2361.6674083963803</v>
      </c>
      <c r="R48" s="321">
        <f>IFERROR($N47/$Q$13, "")</f>
        <v>11808.337041981902</v>
      </c>
      <c r="S48" s="321">
        <f>IFERROR($N47/$Q$15, "")</f>
        <v>23616.674083963804</v>
      </c>
      <c r="T48" s="322">
        <f>IFERROR($N47/$Q$17, "")</f>
        <v>47233.348167927608</v>
      </c>
    </row>
    <row r="49" spans="2:20" ht="33" customHeight="1" x14ac:dyDescent="0.2">
      <c r="B49" s="552" t="s">
        <v>144</v>
      </c>
      <c r="C49" s="557">
        <v>22</v>
      </c>
      <c r="D49" s="299" t="s">
        <v>103</v>
      </c>
      <c r="E49" s="417">
        <v>30</v>
      </c>
      <c r="F49" s="300">
        <f>IFERROR($C49/IF($C$42="Worker",$G$10,$G$11), "")</f>
        <v>4894.7879572677239</v>
      </c>
      <c r="G49" s="301">
        <f>IFERROR($F49*'List Values'!$B$9, "")</f>
        <v>48947.879572677237</v>
      </c>
      <c r="H49" s="301">
        <f>IFERROR($F49*'List Values'!$B$10, "")</f>
        <v>122369.6989316931</v>
      </c>
      <c r="I49" s="301">
        <f>IFERROR($F49*'List Values'!$B$11, "")</f>
        <v>244739.3978633862</v>
      </c>
      <c r="J49" s="301">
        <f>IFERROR($F49*'List Values'!$B$12, "")</f>
        <v>4894787.957267724</v>
      </c>
      <c r="K49" s="302">
        <f>IFERROR($F49*'List Values'!$B$13, "")</f>
        <v>48947879.57267724</v>
      </c>
      <c r="L49" s="77"/>
      <c r="M49" s="77"/>
      <c r="N49" s="536">
        <f>INDEX('Health Data'!$T:$T,MATCH($C$2,'Health Data'!$B:$B,0))</f>
        <v>6.5</v>
      </c>
      <c r="O49" s="299" t="s">
        <v>103</v>
      </c>
      <c r="P49" s="417">
        <v>30</v>
      </c>
      <c r="Q49" s="301">
        <f>IFERROR($N$49/$R$10, "")</f>
        <v>350.6358646545562</v>
      </c>
      <c r="R49" s="301">
        <f>IFERROR($N$49/$R$12, "")</f>
        <v>1753.1793232727809</v>
      </c>
      <c r="S49" s="301">
        <f>IFERROR($N$49/$R$14, "")</f>
        <v>3506.3586465455619</v>
      </c>
      <c r="T49" s="302">
        <f>IFERROR($N$49/$R$16, "")</f>
        <v>7012.7172930911238</v>
      </c>
    </row>
    <row r="50" spans="2:20" ht="33" customHeight="1" thickBot="1" x14ac:dyDescent="0.25">
      <c r="B50" s="551"/>
      <c r="C50" s="558"/>
      <c r="D50" s="293" t="s">
        <v>27</v>
      </c>
      <c r="E50" s="418">
        <v>30</v>
      </c>
      <c r="F50" s="303">
        <f>IFERROR($C49/IF($C$42="Worker",$G$12,$G$13), "")</f>
        <v>28299.465240641708</v>
      </c>
      <c r="G50" s="303">
        <f>IFERROR($F50*'List Values'!$B$9, "")</f>
        <v>282994.65240641707</v>
      </c>
      <c r="H50" s="303">
        <f>IFERROR($F50*'List Values'!$B$10, "")</f>
        <v>707486.63101604267</v>
      </c>
      <c r="I50" s="303">
        <f>IFERROR($F50*'List Values'!$B$11, "")</f>
        <v>1414973.2620320853</v>
      </c>
      <c r="J50" s="303">
        <f>IFERROR($F50*'List Values'!$B$12, "")</f>
        <v>28299465.240641709</v>
      </c>
      <c r="K50" s="307">
        <f>IFERROR($F50*'List Values'!$B$13, "")</f>
        <v>282994652.40641707</v>
      </c>
      <c r="L50" s="77"/>
      <c r="M50" s="77"/>
      <c r="N50" s="537"/>
      <c r="O50" s="293" t="s">
        <v>27</v>
      </c>
      <c r="P50" s="418">
        <v>30</v>
      </c>
      <c r="Q50" s="321">
        <f>IFERROR($N$49/$R$11, "")</f>
        <v>1051.9075939636687</v>
      </c>
      <c r="R50" s="321">
        <f>IFERROR($N$49/$R$13, "")</f>
        <v>5259.5379698183442</v>
      </c>
      <c r="S50" s="321">
        <f>IFERROR($N$49/$R$15, "")</f>
        <v>10519.075939636688</v>
      </c>
      <c r="T50" s="322">
        <f>IFERROR($N$49/$R$17, "")</f>
        <v>21038.151879273377</v>
      </c>
    </row>
    <row r="51" spans="2:20" ht="33" customHeight="1" x14ac:dyDescent="0.2">
      <c r="B51" s="553" t="s">
        <v>145</v>
      </c>
      <c r="C51" s="559">
        <f>INDEX('Health Data'!$P:$P,MATCH($C$2,'Health Data'!$B:$B,0))</f>
        <v>5.2378738884397729</v>
      </c>
      <c r="D51" s="292" t="s">
        <v>103</v>
      </c>
      <c r="E51" s="421">
        <v>300</v>
      </c>
      <c r="F51" s="304">
        <f>IFERROR($C51/IF($C$42="Worker",$H$10,$H$11), "")</f>
        <v>1247.7297255000071</v>
      </c>
      <c r="G51" s="305">
        <f>IFERROR($F51*'List Values'!$B$9, "")</f>
        <v>12477.29725500007</v>
      </c>
      <c r="H51" s="305">
        <f>IFERROR($F51*'List Values'!$B$10, "")</f>
        <v>31193.24313750018</v>
      </c>
      <c r="I51" s="305">
        <f>IFERROR($F51*'List Values'!$B$11, "")</f>
        <v>62386.486275000359</v>
      </c>
      <c r="J51" s="305">
        <f>IFERROR($F51*'List Values'!$B$12, "")</f>
        <v>1247729.7255000072</v>
      </c>
      <c r="K51" s="306">
        <f>IFERROR($F51*'List Values'!$B$13, "")</f>
        <v>12477297.255000072</v>
      </c>
      <c r="L51" s="77"/>
      <c r="M51" s="77"/>
      <c r="N51" s="538">
        <f>INDEX('Health Data'!$T:$T,MATCH($C$2,'Health Data'!$B:$B,0))</f>
        <v>6.5</v>
      </c>
      <c r="O51" s="292" t="s">
        <v>103</v>
      </c>
      <c r="P51" s="421">
        <v>300</v>
      </c>
      <c r="Q51" s="305">
        <f>IFERROR($N$51/$S$10, "")</f>
        <v>375.41413242347824</v>
      </c>
      <c r="R51" s="305">
        <f>IFERROR($N$51/$S$12, "")</f>
        <v>1877.0706621173911</v>
      </c>
      <c r="S51" s="305">
        <f>IFERROR($N$51/$S$14, "")</f>
        <v>3754.1413242347821</v>
      </c>
      <c r="T51" s="306">
        <f>IFERROR($N$51/$S$16, "")</f>
        <v>7508.2826484695643</v>
      </c>
    </row>
    <row r="52" spans="2:20" ht="33" customHeight="1" thickBot="1" x14ac:dyDescent="0.25">
      <c r="B52" s="554"/>
      <c r="C52" s="560"/>
      <c r="D52" s="293" t="s">
        <v>27</v>
      </c>
      <c r="E52" s="418">
        <v>300</v>
      </c>
      <c r="F52" s="303">
        <f>IFERROR($C51/IF($C$42="Worker",$H$12,$H$13), "")</f>
        <v>7213.812795317288</v>
      </c>
      <c r="G52" s="303">
        <f>IFERROR($F52*'List Values'!$B$9, "")</f>
        <v>72138.12795317288</v>
      </c>
      <c r="H52" s="303">
        <f>IFERROR($F52*'List Values'!$B$10, "")</f>
        <v>180345.31988293221</v>
      </c>
      <c r="I52" s="303">
        <f>IFERROR($F52*'List Values'!$B$11, "")</f>
        <v>360690.63976586441</v>
      </c>
      <c r="J52" s="303">
        <f>IFERROR($F52*'List Values'!$B$12, "")</f>
        <v>7213812.7953172876</v>
      </c>
      <c r="K52" s="307">
        <f>IFERROR($F52*'List Values'!$B$13, "")</f>
        <v>72138127.953172877</v>
      </c>
      <c r="L52" s="77"/>
      <c r="M52" s="77"/>
      <c r="N52" s="539"/>
      <c r="O52" s="320" t="s">
        <v>27</v>
      </c>
      <c r="P52" s="420">
        <v>300</v>
      </c>
      <c r="Q52" s="323">
        <f>IFERROR($N$51/$S$11, "")</f>
        <v>1126.2423972704346</v>
      </c>
      <c r="R52" s="323">
        <f>IFERROR($N$51/$S$13, "")</f>
        <v>5631.211986352173</v>
      </c>
      <c r="S52" s="323">
        <f>IFERROR($N$51/$S$15, "")</f>
        <v>11262.423972704346</v>
      </c>
      <c r="T52" s="324">
        <f>IFERROR($N$51/$S$17, "")</f>
        <v>22524.847945408692</v>
      </c>
    </row>
    <row r="53" spans="2:20" ht="33" customHeight="1" x14ac:dyDescent="0.2">
      <c r="B53" s="294"/>
      <c r="C53" s="547" t="s">
        <v>146</v>
      </c>
      <c r="D53" s="530" t="s">
        <v>23</v>
      </c>
      <c r="E53" s="530" t="s">
        <v>108</v>
      </c>
      <c r="F53" s="530" t="str">
        <f>_xlfn.CONCAT("Exposure Estimates: ",$C$42," MOE")</f>
        <v>Exposure Estimates: Worker MOE</v>
      </c>
      <c r="G53" s="530"/>
      <c r="H53" s="530"/>
      <c r="I53" s="530"/>
      <c r="J53" s="530"/>
      <c r="K53" s="531"/>
      <c r="L53" s="77"/>
      <c r="M53" s="77"/>
      <c r="N53" s="532" t="s">
        <v>147</v>
      </c>
      <c r="O53" s="540" t="s">
        <v>23</v>
      </c>
      <c r="P53" s="540" t="s">
        <v>108</v>
      </c>
      <c r="Q53" s="540" t="str">
        <f>_xlfn.CONCAT("Exposure Estimates: ",$I$4," MOE")</f>
        <v>Exposure Estimates:  MOE</v>
      </c>
      <c r="R53" s="540"/>
      <c r="S53" s="540"/>
      <c r="T53" s="542"/>
    </row>
    <row r="54" spans="2:20" ht="33" customHeight="1" thickBot="1" x14ac:dyDescent="0.25">
      <c r="B54" s="294"/>
      <c r="C54" s="533"/>
      <c r="D54" s="541"/>
      <c r="E54" s="541"/>
      <c r="F54" s="416" t="s">
        <v>139</v>
      </c>
      <c r="G54" s="416" t="s">
        <v>34</v>
      </c>
      <c r="H54" s="416" t="s">
        <v>35</v>
      </c>
      <c r="I54" s="416" t="s">
        <v>32</v>
      </c>
      <c r="J54" s="416" t="s">
        <v>140</v>
      </c>
      <c r="K54" s="290" t="s">
        <v>31</v>
      </c>
      <c r="L54" s="77"/>
      <c r="M54" s="77"/>
      <c r="N54" s="533"/>
      <c r="O54" s="541"/>
      <c r="P54" s="541"/>
      <c r="Q54" s="318" t="s">
        <v>135</v>
      </c>
      <c r="R54" s="318" t="s">
        <v>33</v>
      </c>
      <c r="S54" s="318" t="s">
        <v>141</v>
      </c>
      <c r="T54" s="319" t="s">
        <v>142</v>
      </c>
    </row>
    <row r="55" spans="2:20" ht="33" customHeight="1" x14ac:dyDescent="0.2">
      <c r="B55" s="545" t="s">
        <v>148</v>
      </c>
      <c r="C55" s="543">
        <f>INDEX('Health Data'!$Y:$Y,MATCH($C$2,'Health Data'!$B:$B,0))</f>
        <v>2.8736850715746418E-2</v>
      </c>
      <c r="D55" s="299" t="s">
        <v>103</v>
      </c>
      <c r="E55" s="107">
        <v>1E-4</v>
      </c>
      <c r="F55" s="340">
        <f>IFERROR($C55*IF($C$42="Worker",$I$10,$I$11), "")</f>
        <v>6.1864153760391534E-5</v>
      </c>
      <c r="G55" s="341">
        <f>IFERROR($F55/'List Values'!$B$9, "")</f>
        <v>6.1864153760391537E-6</v>
      </c>
      <c r="H55" s="341">
        <f>IFERROR($F55/'List Values'!$B$10, "")</f>
        <v>2.4745661504156613E-6</v>
      </c>
      <c r="I55" s="341">
        <f>IFERROR($F55/'List Values'!$B$11, "")</f>
        <v>1.2372830752078307E-6</v>
      </c>
      <c r="J55" s="341">
        <f>IFERROR($F55/'List Values'!$B$12, "")</f>
        <v>6.1864153760391538E-8</v>
      </c>
      <c r="K55" s="342">
        <f>IFERROR($F55/'List Values'!$B$13, "")</f>
        <v>6.1864153760391535E-9</v>
      </c>
      <c r="L55" s="77"/>
      <c r="M55" s="77"/>
      <c r="N55" s="563" t="str">
        <f>INDEX('Health Data'!$AB:$AB,MATCH($C$2,'Health Data'!$B:$B,0))</f>
        <v>Not Quantified</v>
      </c>
      <c r="O55" s="292" t="s">
        <v>103</v>
      </c>
      <c r="P55" s="596"/>
      <c r="Q55" s="305" t="str">
        <f>IFERROR($N$55*$T10, "")</f>
        <v/>
      </c>
      <c r="R55" s="305" t="str">
        <f>IFERROR($N$55*$T12, "")</f>
        <v/>
      </c>
      <c r="S55" s="305" t="str">
        <f>IFERROR($N$55*$T14, "")</f>
        <v/>
      </c>
      <c r="T55" s="306" t="str">
        <f>IFERROR($N$55*$T16, "")</f>
        <v/>
      </c>
    </row>
    <row r="56" spans="2:20" ht="33" customHeight="1" thickBot="1" x14ac:dyDescent="0.25">
      <c r="B56" s="546"/>
      <c r="C56" s="544"/>
      <c r="D56" s="293" t="s">
        <v>27</v>
      </c>
      <c r="E56" s="107">
        <v>1E-4</v>
      </c>
      <c r="F56" s="337">
        <f>IFERROR($C55*IF($C$42="Worker",$I$12,$I$13), "")</f>
        <v>8.2927091372378882E-6</v>
      </c>
      <c r="G56" s="338">
        <f>IFERROR($F56/'List Values'!$B$9, "")</f>
        <v>8.292709137237888E-7</v>
      </c>
      <c r="H56" s="338">
        <f>IFERROR($F56/'List Values'!$B$10, "")</f>
        <v>3.3170836548951553E-7</v>
      </c>
      <c r="I56" s="338">
        <f>IFERROR($F56/'List Values'!$B$11, "")</f>
        <v>1.6585418274475776E-7</v>
      </c>
      <c r="J56" s="338">
        <f>IFERROR($F56/'List Values'!$B$12, "")</f>
        <v>8.2927091372378879E-9</v>
      </c>
      <c r="K56" s="339">
        <f>IFERROR($F56/'List Values'!$B$13, "")</f>
        <v>8.2927091372378885E-10</v>
      </c>
      <c r="L56" s="77"/>
      <c r="M56" s="77"/>
      <c r="N56" s="564"/>
      <c r="O56" s="293" t="s">
        <v>27</v>
      </c>
      <c r="P56" s="558"/>
      <c r="Q56" s="321" t="str">
        <f>IFERROR($N$55*$T11, "")</f>
        <v/>
      </c>
      <c r="R56" s="321" t="str">
        <f>IFERROR($N$55*$T13, "")</f>
        <v/>
      </c>
      <c r="S56" s="321" t="str">
        <f>IFERROR($N$55*$T15, "")</f>
        <v/>
      </c>
      <c r="T56" s="322" t="str">
        <f>IFERROR($N$55*$T17, "")</f>
        <v/>
      </c>
    </row>
    <row r="57" spans="2:20" ht="33" customHeight="1" x14ac:dyDescent="0.2">
      <c r="B57" s="79"/>
      <c r="I57" s="77"/>
      <c r="J57" s="77"/>
      <c r="K57" s="77"/>
      <c r="L57" s="77"/>
      <c r="M57" s="77"/>
    </row>
    <row r="58" spans="2:20" ht="33" customHeight="1" x14ac:dyDescent="0.2">
      <c r="B58" s="79"/>
      <c r="I58" s="77"/>
      <c r="J58" s="77"/>
      <c r="K58" s="77"/>
      <c r="L58" s="77"/>
      <c r="M58" s="77"/>
    </row>
    <row r="59" spans="2:20" ht="33" customHeight="1" x14ac:dyDescent="0.2">
      <c r="B59" s="79"/>
      <c r="I59" s="77"/>
      <c r="J59" s="77"/>
      <c r="K59" s="77"/>
      <c r="L59" s="77"/>
      <c r="M59" s="77"/>
    </row>
    <row r="60" spans="2:20" ht="33" customHeight="1" x14ac:dyDescent="0.2">
      <c r="B60" s="79"/>
      <c r="I60" s="77"/>
      <c r="J60" s="77"/>
      <c r="K60" s="77"/>
      <c r="L60" s="77"/>
      <c r="M60" s="77"/>
    </row>
    <row r="61" spans="2:20" s="85" customFormat="1" ht="21" x14ac:dyDescent="0.35">
      <c r="C61" s="66"/>
      <c r="D61" s="66"/>
      <c r="E61" s="66"/>
      <c r="F61" s="66"/>
      <c r="G61" s="66"/>
      <c r="H61" s="66"/>
      <c r="N61" s="66"/>
      <c r="O61" s="66"/>
      <c r="P61" s="66"/>
      <c r="Q61" s="66"/>
      <c r="R61" s="66"/>
      <c r="S61" s="66"/>
      <c r="T61" s="66"/>
    </row>
    <row r="62" spans="2:20" ht="25.5" customHeight="1" x14ac:dyDescent="0.2">
      <c r="B62" s="82"/>
      <c r="I62" s="90"/>
      <c r="J62" s="90"/>
      <c r="K62" s="90"/>
      <c r="L62" s="90"/>
      <c r="M62" s="90"/>
    </row>
    <row r="63" spans="2:20" ht="14.45" customHeight="1" x14ac:dyDescent="0.2">
      <c r="B63" s="82"/>
      <c r="I63" s="90"/>
      <c r="J63" s="90"/>
      <c r="K63" s="90"/>
      <c r="L63" s="90"/>
      <c r="M63" s="90"/>
    </row>
    <row r="64" spans="2:20" x14ac:dyDescent="0.2">
      <c r="B64" s="82"/>
      <c r="I64" s="89"/>
      <c r="J64" s="89"/>
      <c r="K64" s="89"/>
      <c r="L64" s="89"/>
      <c r="M64" s="89"/>
    </row>
    <row r="65" spans="2:20" ht="21" x14ac:dyDescent="0.35">
      <c r="B65" s="82"/>
      <c r="I65" s="89"/>
      <c r="J65" s="89"/>
      <c r="K65" s="89"/>
      <c r="L65" s="89"/>
      <c r="M65" s="89"/>
      <c r="S65" s="85"/>
      <c r="T65" s="85"/>
    </row>
    <row r="69" spans="2:20" ht="29.1" customHeight="1" x14ac:dyDescent="0.2"/>
  </sheetData>
  <sheetProtection sheet="1" objects="1" scenarios="1" formatCells="0" formatColumns="0" formatRows="0"/>
  <mergeCells count="93">
    <mergeCell ref="C8:C9"/>
    <mergeCell ref="D8:D9"/>
    <mergeCell ref="N8:N9"/>
    <mergeCell ref="O8:O9"/>
    <mergeCell ref="D10:D11"/>
    <mergeCell ref="N10:N11"/>
    <mergeCell ref="Q20:Q21"/>
    <mergeCell ref="C18:C19"/>
    <mergeCell ref="D18:D19"/>
    <mergeCell ref="D12:D13"/>
    <mergeCell ref="C16:C17"/>
    <mergeCell ref="D16:D17"/>
    <mergeCell ref="E16:E17"/>
    <mergeCell ref="F16:F17"/>
    <mergeCell ref="N12:N13"/>
    <mergeCell ref="N14:N15"/>
    <mergeCell ref="N16:N17"/>
    <mergeCell ref="G16:H16"/>
    <mergeCell ref="N22:N23"/>
    <mergeCell ref="O22:O23"/>
    <mergeCell ref="O26:O27"/>
    <mergeCell ref="O20:O21"/>
    <mergeCell ref="P20:P21"/>
    <mergeCell ref="P26:P27"/>
    <mergeCell ref="N20:N21"/>
    <mergeCell ref="C22:C23"/>
    <mergeCell ref="D22:D23"/>
    <mergeCell ref="E22:E23"/>
    <mergeCell ref="F22:F23"/>
    <mergeCell ref="G22:H22"/>
    <mergeCell ref="Q26:Q27"/>
    <mergeCell ref="C24:C25"/>
    <mergeCell ref="D24:D25"/>
    <mergeCell ref="O32:O33"/>
    <mergeCell ref="P32:P33"/>
    <mergeCell ref="Q32:Q33"/>
    <mergeCell ref="C30:C31"/>
    <mergeCell ref="D30:D31"/>
    <mergeCell ref="N32:N33"/>
    <mergeCell ref="O28:O29"/>
    <mergeCell ref="N26:N27"/>
    <mergeCell ref="O40:O41"/>
    <mergeCell ref="Q40:Q41"/>
    <mergeCell ref="C34:C35"/>
    <mergeCell ref="D34:D35"/>
    <mergeCell ref="E34:E35"/>
    <mergeCell ref="F34:F35"/>
    <mergeCell ref="G34:H34"/>
    <mergeCell ref="N38:N39"/>
    <mergeCell ref="N34:N35"/>
    <mergeCell ref="O34:O35"/>
    <mergeCell ref="O38:O39"/>
    <mergeCell ref="P38:P39"/>
    <mergeCell ref="Q38:Q39"/>
    <mergeCell ref="C36:C37"/>
    <mergeCell ref="D36:D37"/>
    <mergeCell ref="B45:B46"/>
    <mergeCell ref="C45:C46"/>
    <mergeCell ref="D45:D46"/>
    <mergeCell ref="E45:E46"/>
    <mergeCell ref="F45:K45"/>
    <mergeCell ref="B55:B56"/>
    <mergeCell ref="C55:C56"/>
    <mergeCell ref="B47:B48"/>
    <mergeCell ref="C47:C48"/>
    <mergeCell ref="B49:B50"/>
    <mergeCell ref="C49:C50"/>
    <mergeCell ref="B51:B52"/>
    <mergeCell ref="C51:C52"/>
    <mergeCell ref="C53:C54"/>
    <mergeCell ref="D53:D54"/>
    <mergeCell ref="E53:E54"/>
    <mergeCell ref="F53:K53"/>
    <mergeCell ref="N40:N41"/>
    <mergeCell ref="C28:C29"/>
    <mergeCell ref="D28:D29"/>
    <mergeCell ref="E28:E29"/>
    <mergeCell ref="F28:F29"/>
    <mergeCell ref="G28:H28"/>
    <mergeCell ref="N28:N29"/>
    <mergeCell ref="N45:N46"/>
    <mergeCell ref="N51:N52"/>
    <mergeCell ref="N53:N54"/>
    <mergeCell ref="O45:O46"/>
    <mergeCell ref="P45:P46"/>
    <mergeCell ref="Q45:T45"/>
    <mergeCell ref="N47:N48"/>
    <mergeCell ref="N49:N50"/>
    <mergeCell ref="Q53:T53"/>
    <mergeCell ref="N55:N56"/>
    <mergeCell ref="P55:P56"/>
    <mergeCell ref="O53:O54"/>
    <mergeCell ref="P53:P54"/>
  </mergeCells>
  <conditionalFormatting sqref="E10:I13">
    <cfRule type="cellIs" dxfId="1567" priority="89" operator="between">
      <formula>0.1</formula>
      <formula>0.999</formula>
    </cfRule>
    <cfRule type="cellIs" dxfId="1566" priority="87" operator="greaterThanOrEqual">
      <formula>10</formula>
    </cfRule>
    <cfRule type="cellIs" dxfId="1565" priority="90" operator="lessThanOrEqual">
      <formula>0.1</formula>
    </cfRule>
    <cfRule type="cellIs" dxfId="1564" priority="88" operator="between">
      <formula>1</formula>
      <formula>9.999</formula>
    </cfRule>
    <cfRule type="cellIs" dxfId="1563" priority="97" operator="greaterThan">
      <formula>10000</formula>
    </cfRule>
    <cfRule type="containsBlanks" dxfId="1562" priority="91" stopIfTrue="1">
      <formula>LEN(TRIM(E10))=0</formula>
    </cfRule>
    <cfRule type="cellIs" dxfId="1561" priority="96" operator="greaterThan">
      <formula>10</formula>
    </cfRule>
    <cfRule type="cellIs" dxfId="1560" priority="95" operator="between">
      <formula>1</formula>
      <formula>10</formula>
    </cfRule>
    <cfRule type="cellIs" dxfId="1559" priority="94" operator="between">
      <formula>0.1</formula>
      <formula>0.999</formula>
    </cfRule>
    <cfRule type="cellIs" dxfId="1558" priority="93" operator="lessThan">
      <formula>0.1</formula>
    </cfRule>
    <cfRule type="cellIs" dxfId="1557" priority="92" operator="equal">
      <formula>0</formula>
    </cfRule>
    <cfRule type="cellIs" dxfId="1556" priority="86" operator="greaterThanOrEqual">
      <formula>10000</formula>
    </cfRule>
  </conditionalFormatting>
  <conditionalFormatting sqref="F47:K48">
    <cfRule type="cellIs" dxfId="1555" priority="130" operator="lessThan">
      <formula>$E$47</formula>
    </cfRule>
    <cfRule type="cellIs" dxfId="1554" priority="129" operator="greaterThanOrEqual">
      <formula>$E$47</formula>
    </cfRule>
  </conditionalFormatting>
  <conditionalFormatting sqref="F47:K52">
    <cfRule type="containsBlanks" dxfId="1553" priority="112" stopIfTrue="1">
      <formula>LEN(TRIM(F47))=0</formula>
    </cfRule>
    <cfRule type="cellIs" dxfId="1552" priority="111" operator="lessThanOrEqual">
      <formula>0.1</formula>
    </cfRule>
    <cfRule type="cellIs" dxfId="1551" priority="110" operator="between">
      <formula>0.1</formula>
      <formula>0.999</formula>
    </cfRule>
    <cfRule type="cellIs" dxfId="1550" priority="109" operator="between">
      <formula>1</formula>
      <formula>9.999</formula>
    </cfRule>
    <cfRule type="cellIs" dxfId="1549" priority="108" operator="greaterThanOrEqual">
      <formula>10</formula>
    </cfRule>
    <cfRule type="cellIs" dxfId="1548" priority="107" operator="greaterThanOrEqual">
      <formula>10000</formula>
    </cfRule>
  </conditionalFormatting>
  <conditionalFormatting sqref="F49:K50">
    <cfRule type="cellIs" dxfId="1547" priority="122" operator="lessThan">
      <formula>$E$49</formula>
    </cfRule>
    <cfRule type="cellIs" dxfId="1546" priority="121" operator="greaterThanOrEqual">
      <formula>$E$49</formula>
    </cfRule>
  </conditionalFormatting>
  <conditionalFormatting sqref="F51:K52">
    <cfRule type="cellIs" dxfId="1545" priority="114" operator="lessThan">
      <formula>$E$51</formula>
    </cfRule>
    <cfRule type="cellIs" dxfId="1544" priority="113" operator="greaterThanOrEqual">
      <formula>$E$51</formula>
    </cfRule>
  </conditionalFormatting>
  <conditionalFormatting sqref="F55:K55">
    <cfRule type="cellIs" dxfId="1543" priority="104" operator="greaterThanOrEqual">
      <formula>0.0001</formula>
    </cfRule>
    <cfRule type="containsBlanks" dxfId="1542" priority="103" stopIfTrue="1">
      <formula>LEN(TRIM(F55))=0</formula>
    </cfRule>
  </conditionalFormatting>
  <conditionalFormatting sqref="F55:K56">
    <cfRule type="cellIs" dxfId="1541" priority="2" operator="between">
      <formula>0.1</formula>
      <formula>0.999</formula>
    </cfRule>
    <cfRule type="cellIs" dxfId="1540" priority="98" operator="greaterThanOrEqual">
      <formula>10000</formula>
    </cfRule>
    <cfRule type="cellIs" dxfId="1539" priority="1" operator="between">
      <formula>1</formula>
      <formula>9.999</formula>
    </cfRule>
    <cfRule type="cellIs" dxfId="1538" priority="99" operator="greaterThanOrEqual">
      <formula>10</formula>
    </cfRule>
  </conditionalFormatting>
  <conditionalFormatting sqref="F56:K56">
    <cfRule type="containsBlanks" dxfId="1537" priority="3" stopIfTrue="1">
      <formula>LEN(TRIM(F56))=0</formula>
    </cfRule>
    <cfRule type="cellIs" dxfId="1536" priority="102" operator="lessThanOrEqual">
      <formula>0.1</formula>
    </cfRule>
    <cfRule type="cellIs" dxfId="1535" priority="4" operator="greaterThanOrEqual">
      <formula>0.0001</formula>
    </cfRule>
  </conditionalFormatting>
  <conditionalFormatting sqref="G18:H19 G24:H25 G30:H31">
    <cfRule type="cellIs" dxfId="1534" priority="147" operator="greaterThanOrEqual">
      <formula>10000</formula>
    </cfRule>
    <cfRule type="cellIs" dxfId="1533" priority="148" operator="greaterThanOrEqual">
      <formula>10</formula>
    </cfRule>
    <cfRule type="cellIs" dxfId="1532" priority="149" operator="between">
      <formula>1</formula>
      <formula>9.999</formula>
    </cfRule>
    <cfRule type="cellIs" dxfId="1531" priority="150" operator="between">
      <formula>0.1</formula>
      <formula>0.999</formula>
    </cfRule>
    <cfRule type="cellIs" dxfId="1530" priority="151" operator="lessThanOrEqual">
      <formula>0.1</formula>
    </cfRule>
    <cfRule type="containsBlanks" dxfId="1529" priority="152" stopIfTrue="1">
      <formula>LEN(TRIM(G18))=0</formula>
    </cfRule>
    <cfRule type="cellIs" dxfId="1528" priority="153" operator="lessThan">
      <formula>$F18</formula>
    </cfRule>
  </conditionalFormatting>
  <conditionalFormatting sqref="G36:H37">
    <cfRule type="cellIs" dxfId="1527" priority="144" operator="equal">
      <formula>0</formula>
    </cfRule>
    <cfRule type="containsBlanks" dxfId="1526" priority="143" stopIfTrue="1">
      <formula>LEN(TRIM(G36))=0</formula>
    </cfRule>
    <cfRule type="cellIs" dxfId="1525" priority="142" operator="lessThanOrEqual">
      <formula>0.1</formula>
    </cfRule>
    <cfRule type="cellIs" dxfId="1524" priority="140" operator="between">
      <formula>1</formula>
      <formula>9.999</formula>
    </cfRule>
    <cfRule type="cellIs" dxfId="1523" priority="139" operator="greaterThanOrEqual">
      <formula>10</formula>
    </cfRule>
    <cfRule type="cellIs" dxfId="1522" priority="141" operator="between">
      <formula>0.1</formula>
      <formula>0.999</formula>
    </cfRule>
    <cfRule type="cellIs" dxfId="1521" priority="138" operator="greaterThanOrEqual">
      <formula>10000</formula>
    </cfRule>
    <cfRule type="cellIs" dxfId="1520" priority="145" operator="greaterThan">
      <formula>0.0001</formula>
    </cfRule>
  </conditionalFormatting>
  <conditionalFormatting sqref="P10:T17">
    <cfRule type="cellIs" dxfId="1519" priority="66" operator="lessThanOrEqual">
      <formula>0.1</formula>
    </cfRule>
    <cfRule type="cellIs" dxfId="1518" priority="65" operator="between">
      <formula>0.1</formula>
      <formula>0.999</formula>
    </cfRule>
    <cfRule type="cellIs" dxfId="1517" priority="64" operator="between">
      <formula>1</formula>
      <formula>9.999</formula>
    </cfRule>
    <cfRule type="cellIs" dxfId="1516" priority="63" operator="greaterThanOrEqual">
      <formula>10</formula>
    </cfRule>
    <cfRule type="cellIs" dxfId="1515" priority="68" operator="equal">
      <formula>0</formula>
    </cfRule>
    <cfRule type="cellIs" dxfId="1514" priority="62" operator="greaterThanOrEqual">
      <formula>10000</formula>
    </cfRule>
    <cfRule type="cellIs" dxfId="1513" priority="72" operator="greaterThan">
      <formula>10</formula>
    </cfRule>
    <cfRule type="cellIs" dxfId="1512" priority="71" operator="between">
      <formula>1</formula>
      <formula>10</formula>
    </cfRule>
    <cfRule type="cellIs" dxfId="1511" priority="70" operator="between">
      <formula>0.1</formula>
      <formula>0.999</formula>
    </cfRule>
    <cfRule type="cellIs" dxfId="1510" priority="69" operator="lessThan">
      <formula>0.1</formula>
    </cfRule>
    <cfRule type="containsBlanks" dxfId="1509" priority="67" stopIfTrue="1">
      <formula>LEN(TRIM(P10))=0</formula>
    </cfRule>
    <cfRule type="cellIs" dxfId="1508" priority="73" operator="greaterThan">
      <formula>10000</formula>
    </cfRule>
  </conditionalFormatting>
  <conditionalFormatting sqref="Q47:T47">
    <cfRule type="cellIs" dxfId="1507" priority="61" operator="lessThan">
      <formula>$P$47</formula>
    </cfRule>
    <cfRule type="cellIs" dxfId="1506" priority="60" operator="greaterThanOrEqual">
      <formula>$P$47</formula>
    </cfRule>
  </conditionalFormatting>
  <conditionalFormatting sqref="Q47:T52">
    <cfRule type="cellIs" dxfId="1505" priority="14" operator="between">
      <formula>1</formula>
      <formula>9.999</formula>
    </cfRule>
    <cfRule type="cellIs" dxfId="1504" priority="15" operator="between">
      <formula>0.1</formula>
      <formula>0.999</formula>
    </cfRule>
    <cfRule type="containsBlanks" dxfId="1503" priority="16" stopIfTrue="1">
      <formula>LEN(TRIM(Q47))=0</formula>
    </cfRule>
    <cfRule type="cellIs" dxfId="1502" priority="17" operator="greaterThanOrEqual">
      <formula>10000</formula>
    </cfRule>
    <cfRule type="cellIs" dxfId="1501" priority="18" operator="greaterThanOrEqual">
      <formula>10</formula>
    </cfRule>
    <cfRule type="cellIs" dxfId="1500" priority="19" operator="lessThanOrEqual">
      <formula>0.1</formula>
    </cfRule>
  </conditionalFormatting>
  <conditionalFormatting sqref="Q48:T48">
    <cfRule type="cellIs" dxfId="1499" priority="53" operator="lessThan">
      <formula>$P$48</formula>
    </cfRule>
    <cfRule type="cellIs" dxfId="1498" priority="52" operator="greaterThanOrEqual">
      <formula>$P$48</formula>
    </cfRule>
  </conditionalFormatting>
  <conditionalFormatting sqref="Q49:T49">
    <cfRule type="cellIs" dxfId="1497" priority="45" operator="lessThan">
      <formula>$P$49</formula>
    </cfRule>
    <cfRule type="cellIs" dxfId="1496" priority="44" operator="greaterThanOrEqual">
      <formula>$P$49</formula>
    </cfRule>
  </conditionalFormatting>
  <conditionalFormatting sqref="Q50:T50">
    <cfRule type="cellIs" dxfId="1495" priority="36" operator="greaterThanOrEqual">
      <formula>$P$48</formula>
    </cfRule>
    <cfRule type="cellIs" dxfId="1494" priority="37" operator="lessThan">
      <formula>$P$48</formula>
    </cfRule>
  </conditionalFormatting>
  <conditionalFormatting sqref="Q51:T51">
    <cfRule type="cellIs" dxfId="1493" priority="29" operator="lessThan">
      <formula>$P$49</formula>
    </cfRule>
    <cfRule type="cellIs" dxfId="1492" priority="28" operator="greaterThanOrEqual">
      <formula>$P$49</formula>
    </cfRule>
  </conditionalFormatting>
  <conditionalFormatting sqref="Q52:T52">
    <cfRule type="cellIs" dxfId="1491" priority="20" operator="greaterThanOrEqual">
      <formula>$P$51</formula>
    </cfRule>
    <cfRule type="cellIs" dxfId="1490" priority="21" operator="lessThan">
      <formula>$P$51</formula>
    </cfRule>
  </conditionalFormatting>
  <conditionalFormatting sqref="Q55:T56">
    <cfRule type="cellIs" dxfId="1489" priority="13" operator="between">
      <formula>0.000001</formula>
      <formula>0.00001</formula>
    </cfRule>
    <cfRule type="cellIs" dxfId="1488" priority="12" operator="between">
      <formula>0.00001</formula>
      <formula>0.0001</formula>
    </cfRule>
    <cfRule type="cellIs" dxfId="1487" priority="11" operator="greaterThanOrEqual">
      <formula>0.0001</formula>
    </cfRule>
    <cfRule type="containsBlanks" dxfId="1486" priority="10" stopIfTrue="1">
      <formula>LEN(TRIM(Q55))=0</formula>
    </cfRule>
    <cfRule type="cellIs" dxfId="1485" priority="9" operator="lessThanOrEqual">
      <formula>0.1</formula>
    </cfRule>
    <cfRule type="cellIs" dxfId="1484" priority="8" operator="between">
      <formula>1</formula>
      <formula>100</formula>
    </cfRule>
    <cfRule type="cellIs" dxfId="1483" priority="7" operator="greaterThan">
      <formula>100</formula>
    </cfRule>
  </conditionalFormatting>
  <conditionalFormatting sqref="R22:R23 R28:R29 R34:R35">
    <cfRule type="cellIs" dxfId="1482" priority="135" operator="lessThanOrEqual">
      <formula>0.1</formula>
    </cfRule>
    <cfRule type="containsBlanks" dxfId="1481" priority="136" stopIfTrue="1">
      <formula>LEN(TRIM(R22))=0</formula>
    </cfRule>
    <cfRule type="cellIs" dxfId="1480" priority="137" operator="lessThan">
      <formula>$Q22</formula>
    </cfRule>
    <cfRule type="cellIs" dxfId="1479" priority="131" operator="greaterThanOrEqual">
      <formula>10000</formula>
    </cfRule>
    <cfRule type="cellIs" dxfId="1478" priority="132" operator="greaterThanOrEqual">
      <formula>10</formula>
    </cfRule>
    <cfRule type="cellIs" dxfId="1477" priority="133" operator="between">
      <formula>1</formula>
      <formula>9.999</formula>
    </cfRule>
    <cfRule type="cellIs" dxfId="1476" priority="134" operator="between">
      <formula>0.1</formula>
      <formula>0.999</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DCE69B1-3105-4C80-8945-F07D8D5F3DC3}">
          <x14:formula1>
            <xm:f>'List Values'!$B$4:$B$5</xm:f>
          </x14:formula1>
          <xm:sqref>C42:C43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117D0-3CD7-49C1-9191-0BF9D341C825}">
  <sheetPr codeName="Sheet8"/>
  <dimension ref="B1:W69"/>
  <sheetViews>
    <sheetView topLeftCell="E6" workbookViewId="0">
      <selection activeCell="U9" sqref="U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8" width="15.85546875" style="66" customWidth="1"/>
    <col min="9" max="13" width="12.85546875" style="66" customWidth="1"/>
    <col min="14" max="14" width="12.42578125" style="66" customWidth="1"/>
    <col min="15" max="15" width="28.42578125" style="66" customWidth="1"/>
    <col min="16" max="19" width="14.85546875" style="66" customWidth="1"/>
    <col min="20" max="21" width="13.5703125" style="66" customWidth="1"/>
    <col min="22" max="16384" width="8.7109375" style="66"/>
  </cols>
  <sheetData>
    <row r="1" spans="2:23" ht="21" x14ac:dyDescent="0.35">
      <c r="C1" s="83" t="s">
        <v>1</v>
      </c>
    </row>
    <row r="2" spans="2:23" ht="21" x14ac:dyDescent="0.35">
      <c r="C2" s="83" t="s">
        <v>469</v>
      </c>
      <c r="N2" s="68"/>
      <c r="U2" s="67"/>
    </row>
    <row r="3" spans="2:23" ht="15.75" x14ac:dyDescent="0.25">
      <c r="C3" s="67"/>
      <c r="N3" s="68"/>
      <c r="U3" s="67"/>
    </row>
    <row r="4" spans="2:23" ht="21" x14ac:dyDescent="0.35">
      <c r="C4" s="84" t="s">
        <v>83</v>
      </c>
      <c r="D4" s="85"/>
      <c r="E4" s="85"/>
      <c r="F4" s="85"/>
      <c r="G4" s="85"/>
      <c r="H4" s="85"/>
      <c r="I4" s="85"/>
      <c r="J4" s="85"/>
      <c r="K4" s="85"/>
      <c r="L4" s="85"/>
      <c r="M4" s="85"/>
      <c r="O4" s="84" t="s">
        <v>29</v>
      </c>
      <c r="U4" s="67"/>
    </row>
    <row r="5" spans="2:23" ht="21" x14ac:dyDescent="0.35">
      <c r="C5" s="85"/>
      <c r="D5" s="85"/>
      <c r="E5" s="85"/>
      <c r="F5" s="85"/>
      <c r="G5" s="85"/>
      <c r="H5" s="85"/>
      <c r="I5" s="85"/>
      <c r="J5" s="85"/>
      <c r="K5" s="85"/>
      <c r="L5" s="85"/>
      <c r="M5" s="85"/>
      <c r="O5" s="83"/>
      <c r="U5" s="67"/>
    </row>
    <row r="6" spans="2:23" ht="21" x14ac:dyDescent="0.35">
      <c r="C6" s="83" t="s">
        <v>84</v>
      </c>
      <c r="D6" s="85"/>
      <c r="E6" s="85"/>
      <c r="F6" s="85"/>
      <c r="G6" s="85"/>
      <c r="H6" s="85"/>
      <c r="I6" s="85"/>
      <c r="J6" s="85"/>
      <c r="K6" s="85"/>
      <c r="L6" s="85"/>
      <c r="M6" s="85"/>
      <c r="O6" s="83" t="s">
        <v>84</v>
      </c>
      <c r="U6" s="67"/>
    </row>
    <row r="7" spans="2:23" ht="15.75" x14ac:dyDescent="0.25">
      <c r="C7" s="67"/>
      <c r="N7" s="68"/>
      <c r="U7" s="67"/>
    </row>
    <row r="8" spans="2:23" ht="38.25" x14ac:dyDescent="0.25">
      <c r="C8" s="592" t="s">
        <v>85</v>
      </c>
      <c r="D8" s="593" t="s">
        <v>23</v>
      </c>
      <c r="E8" s="411" t="s">
        <v>86</v>
      </c>
      <c r="F8" s="411" t="s">
        <v>87</v>
      </c>
      <c r="G8" s="411" t="s">
        <v>88</v>
      </c>
      <c r="H8" s="411" t="s">
        <v>89</v>
      </c>
      <c r="I8" s="411" t="s">
        <v>90</v>
      </c>
      <c r="J8" s="291"/>
      <c r="K8" s="291"/>
      <c r="L8" s="291"/>
      <c r="M8" s="291"/>
      <c r="N8" s="1"/>
      <c r="O8" s="592" t="s">
        <v>85</v>
      </c>
      <c r="P8" s="592" t="s">
        <v>23</v>
      </c>
      <c r="Q8" s="411" t="s">
        <v>91</v>
      </c>
      <c r="R8" s="411" t="s">
        <v>92</v>
      </c>
      <c r="S8" s="411" t="s">
        <v>93</v>
      </c>
      <c r="T8" s="411" t="s">
        <v>94</v>
      </c>
      <c r="U8" s="411" t="s">
        <v>95</v>
      </c>
      <c r="W8" s="67"/>
    </row>
    <row r="9" spans="2:23" ht="27" x14ac:dyDescent="0.25">
      <c r="C9" s="592"/>
      <c r="D9" s="593"/>
      <c r="E9" s="413" t="s">
        <v>482</v>
      </c>
      <c r="F9" s="413" t="s">
        <v>483</v>
      </c>
      <c r="G9" s="413" t="s">
        <v>484</v>
      </c>
      <c r="H9" s="413" t="s">
        <v>484</v>
      </c>
      <c r="I9" s="413" t="s">
        <v>485</v>
      </c>
      <c r="J9" s="291"/>
      <c r="K9" s="291"/>
      <c r="L9" s="291"/>
      <c r="M9" s="291"/>
      <c r="N9" s="1"/>
      <c r="O9" s="592"/>
      <c r="P9" s="592"/>
      <c r="Q9" s="411" t="s">
        <v>100</v>
      </c>
      <c r="R9" s="413" t="s">
        <v>486</v>
      </c>
      <c r="S9" s="413" t="s">
        <v>505</v>
      </c>
      <c r="T9" s="413" t="s">
        <v>487</v>
      </c>
      <c r="U9" s="413" t="s">
        <v>506</v>
      </c>
      <c r="W9" s="67"/>
    </row>
    <row r="10" spans="2:23" ht="15.75" x14ac:dyDescent="0.25">
      <c r="C10" s="88" t="s">
        <v>30</v>
      </c>
      <c r="D10" s="594" t="s">
        <v>103</v>
      </c>
      <c r="E10" s="316">
        <f>INDEX('Inhalation Exposures'!$I$7:$I$74, MATCH('1,1-DCA_test order_MT'!$C$2, 'Inhalation Exposures'!$A$7:$A$74, 0))</f>
        <v>2.7000000000000001E-3</v>
      </c>
      <c r="F10" s="316">
        <f>INDEX('Inhalation Exposures'!K$7:$K$74, MATCH('1,1-DCA_test order_MT'!$C$2, 'Inhalation Exposures'!$A$7:$A$74, 0))</f>
        <v>1.8367346938775511E-3</v>
      </c>
      <c r="G10" s="316">
        <f>INDEX('Inhalation Exposures'!$M7:$M74, MATCH('1,1-DCA_test order_MT'!$C$2, 'Inhalation Exposures'!$A$7:$A$74, 0))</f>
        <v>1.346938775510204E-3</v>
      </c>
      <c r="H10" s="316">
        <f>INDEX('Inhalation Exposures'!$O$7:$O$74, MATCH('1,1-DCA_test order_MT'!$C$2, 'Inhalation Exposures'!$A$7:$A$74, 0))</f>
        <v>1.2580374615599665E-3</v>
      </c>
      <c r="I10" s="316">
        <f>INDEX('Inhalation Exposures'!$Q$7:$Q$74, MATCH('1,1-DCA_test order_MT'!$C$2, 'Inhalation Exposures'!$A$7:$A$74, 0))</f>
        <v>6.4514741618459817E-4</v>
      </c>
      <c r="J10" s="329"/>
      <c r="K10" s="329"/>
      <c r="L10" s="329"/>
      <c r="M10" s="329"/>
      <c r="N10" s="1"/>
      <c r="O10" s="595" t="s">
        <v>104</v>
      </c>
      <c r="P10" s="412" t="s">
        <v>103</v>
      </c>
      <c r="Q10" s="316">
        <f>INDEX('Dermal Exposures'!$J$5:$J$34, MATCH('1,1-DCA_test order_MT'!$C$2, 'Dermal Exposures'!$A$5:$A$34, 0))</f>
        <v>1.9616309999999998E-2</v>
      </c>
      <c r="R10" s="316">
        <f>INDEX('Dermal Exposures'!$K$5:$K$34, MATCH('1,1-DCA_test order_MT'!$C$2, 'Dermal Exposures'!$A$5:$A$34, 0))</f>
        <v>2.4520387499999996E-4</v>
      </c>
      <c r="S10" s="316">
        <f>INDEX('Dermal Exposures'!$L$5:$L$34, MATCH('1,1-DCA_test order_MT'!$C$2, 'Dermal Exposures'!$A$5:$A$34, 0))</f>
        <v>1.7981617499999997E-4</v>
      </c>
      <c r="T10" s="316">
        <f>INDEX('Dermal Exposures'!$M$5:$M$34, MATCH('1,1-DCA_test order_MT'!$C$2, 'Dermal Exposures'!$A$5:$A$34, 0))</f>
        <v>1.6794785958904108E-4</v>
      </c>
      <c r="U10" s="316">
        <f>INDEX('Dermal Exposures'!$N$5:$N$34, MATCH('1,1-DCA_test order_MT'!$C$2, 'Dermal Exposures'!$A$5:$A$34, 0))</f>
        <v>8.6127107481559525E-5</v>
      </c>
      <c r="W10" s="67"/>
    </row>
    <row r="11" spans="2:23" ht="15.75" x14ac:dyDescent="0.25">
      <c r="C11" s="88" t="s">
        <v>28</v>
      </c>
      <c r="D11" s="594"/>
      <c r="E11" s="316">
        <f>INDEX('Inhalation Exposures'!$I$20:$I$81, MATCH('1,1-DCA_test order_MT'!$C$2, 'Inhalation Exposures'!$A$20:$A$81, 0))</f>
        <v>4.5661979166666672E-3</v>
      </c>
      <c r="F11" s="316">
        <f>INDEX('Inhalation Exposures'!$K$20:$K$81, MATCH('1,1-DCA_test order_MT'!$C$2, 'Inhalation Exposures'!$A$20:$A$81, 0))</f>
        <v>3.106257086167801E-3</v>
      </c>
      <c r="G11" s="316">
        <f>INDEX('Inhalation Exposures'!$M$20:$M$81, MATCH('1,1-DCA_test order_MT'!$C$2, 'Inhalation Exposures'!$A$20:$A$81, 0))</f>
        <v>2.2779218631897207E-3</v>
      </c>
      <c r="H11" s="316">
        <f>INDEX('Inhalation Exposures'!$O$20:$O$81, MATCH('1,1-DCA_test order_MT'!$C$2, 'Inhalation Exposures'!$A$20:$A$81, 0))</f>
        <v>2.1275733466902744E-3</v>
      </c>
      <c r="I11" s="316">
        <f>INDEX('Inhalation Exposures'!$Q$20:$Q$81, MATCH('1,1-DCA_test order_MT'!$C$2, 'Inhalation Exposures'!$A$20:$A$81, 0))</f>
        <v>1.0910632547129612E-3</v>
      </c>
      <c r="J11" s="329"/>
      <c r="K11" s="329"/>
      <c r="L11" s="329"/>
      <c r="M11" s="329"/>
      <c r="N11" s="1"/>
      <c r="O11" s="595"/>
      <c r="P11" s="412" t="s">
        <v>27</v>
      </c>
      <c r="Q11" s="316">
        <f>INDEX('Dermal Exposures'!$O$5:$O$34, MATCH('1,1-DCA_test order_MT'!$C$2, 'Dermal Exposures'!$A$5:$A$34, 0))</f>
        <v>6.5387699999999993E-3</v>
      </c>
      <c r="R11" s="316">
        <f>INDEX('Dermal Exposures'!$P$5:$P$34, MATCH('1,1-DCA_test order_MT'!$C$2, 'Dermal Exposures'!$A$5:$A$34, 0))</f>
        <v>8.1734624999999997E-5</v>
      </c>
      <c r="S11" s="316">
        <f>INDEX('Dermal Exposures'!$Q$5:$Q$34, MATCH('1,1-DCA_test order_MT'!$C$2, 'Dermal Exposures'!$A$5:$A$34, 0))</f>
        <v>5.9938724999999998E-5</v>
      </c>
      <c r="T11" s="316">
        <f>INDEX('Dermal Exposures'!$R$5:$R$34, MATCH('1,1-DCA_test order_MT'!$C$2, 'Dermal Exposures'!$A$5:$A$34, 0))</f>
        <v>5.5982619863013688E-5</v>
      </c>
      <c r="U11" s="316">
        <f>INDEX('Dermal Exposures'!$S$5:$S$34, MATCH('1,1-DCA_test order_MT'!$C$2, 'Dermal Exposures'!$A$5:$A$34, 0))</f>
        <v>2.2249502766069543E-5</v>
      </c>
      <c r="W11" s="67"/>
    </row>
    <row r="12" spans="2:23" ht="15.75" x14ac:dyDescent="0.25">
      <c r="C12" s="88" t="s">
        <v>30</v>
      </c>
      <c r="D12" s="591" t="s">
        <v>27</v>
      </c>
      <c r="E12" s="316">
        <f>INDEX('Inhalation Exposures'!$J$7:$J$74, MATCH('1,1-DCA_test order_MT'!$C$2, 'Inhalation Exposures'!$A$7:$A$74, 0))</f>
        <v>2.3000000000000001E-4</v>
      </c>
      <c r="F12" s="316">
        <f>INDEX('Inhalation Exposures'!L$7:$L$74, MATCH('1,1-DCA_test order_MT'!$C$2, 'Inhalation Exposures'!$A$7:$A$74, 0))</f>
        <v>1.5646258503401362E-4</v>
      </c>
      <c r="G12" s="316">
        <f>INDEX('Inhalation Exposures'!$N$7:$N$74, MATCH('1,1-DCA_test order_MT'!$C$2, 'Inhalation Exposures'!$A$7:$A$74, 0))</f>
        <v>1.1473922902494331E-4</v>
      </c>
      <c r="H12" s="316">
        <f>INDEX('Inhalation Exposures'!$P$7:$P$74, MATCH('1,1-DCA_test order_MT'!$C$2, 'Inhalation Exposures'!$A$7:$A$74, 0))</f>
        <v>1.0716615413288603E-4</v>
      </c>
      <c r="I12" s="316">
        <f>INDEX('Inhalation Exposures'!$R$7:$R$74, MATCH('1,1-DCA_test order_MT'!$C$2, 'Inhalation Exposures'!$A$7:$A$74, 0))</f>
        <v>4.2591676642557271E-5</v>
      </c>
      <c r="J12" s="329"/>
      <c r="K12" s="329"/>
      <c r="L12" s="329"/>
      <c r="M12" s="329"/>
      <c r="N12" s="1"/>
      <c r="O12" s="565" t="str">
        <f>_xlfn.CONCAT("Worker with Gloves; 
PF of ",'List Values'!$B$16)</f>
        <v>Worker with Gloves; 
PF of 5</v>
      </c>
      <c r="P12" s="71" t="s">
        <v>103</v>
      </c>
      <c r="Q12" s="316">
        <f>Q10/'List Values'!$B$16</f>
        <v>3.9232619999999994E-3</v>
      </c>
      <c r="R12" s="316">
        <f>R10/'List Values'!$B$16</f>
        <v>4.9040774999999991E-5</v>
      </c>
      <c r="S12" s="316">
        <f>S10/'List Values'!$B$16</f>
        <v>3.596323499999999E-5</v>
      </c>
      <c r="T12" s="316">
        <f>T10/'List Values'!$B$16</f>
        <v>3.3589571917808217E-5</v>
      </c>
      <c r="U12" s="316">
        <f>U10/'List Values'!$B$16</f>
        <v>1.7225421496311905E-5</v>
      </c>
      <c r="V12" s="67"/>
    </row>
    <row r="13" spans="2:23" ht="15.75" x14ac:dyDescent="0.25">
      <c r="C13" s="88" t="s">
        <v>28</v>
      </c>
      <c r="D13" s="591"/>
      <c r="E13" s="316">
        <f>INDEX('Inhalation Exposures'!$J$20:$J$81, MATCH('1,1-DCA_test order_MT'!$C$2, 'Inhalation Exposures'!$A$20:$A$81, 0))</f>
        <v>6.9401041666666667E-5</v>
      </c>
      <c r="F13" s="316">
        <f>INDEX('Inhalation Exposures'!$L$20:$L$81, MATCH('1,1-DCA_test order_MT'!$C$2, 'Inhalation Exposures'!$A$20:$A$81, 0))</f>
        <v>4.721159297052154E-5</v>
      </c>
      <c r="G13" s="316">
        <f>INDEX('Inhalation Exposures'!$N$20:$N$81, MATCH('1,1-DCA_test order_MT'!$C$2, 'Inhalation Exposures'!$A$20:$A$81, 0))</f>
        <v>3.4621834845049136E-5</v>
      </c>
      <c r="H13" s="316">
        <f>INDEX('Inhalation Exposures'!$P$20:$P$81, MATCH('1,1-DCA_test order_MT'!$C$2, 'Inhalation Exposures'!$A$20:$A$81, 0))</f>
        <v>3.233670751405585E-5</v>
      </c>
      <c r="I13" s="316">
        <f>INDEX('Inhalation Exposures'!$R$20:$R$81, MATCH('1,1-DCA_test order_MT'!$C$2, 'Inhalation Exposures'!$A$20:$A$81, 0))</f>
        <v>1.2851768370970914E-5</v>
      </c>
      <c r="J13" s="329"/>
      <c r="K13" s="329"/>
      <c r="L13" s="329"/>
      <c r="M13" s="329"/>
      <c r="N13" s="1"/>
      <c r="O13" s="565"/>
      <c r="P13" s="71" t="s">
        <v>27</v>
      </c>
      <c r="Q13" s="316">
        <f>Q11/'List Values'!$B$16</f>
        <v>1.3077539999999999E-3</v>
      </c>
      <c r="R13" s="316">
        <f>R11/'List Values'!$B$16</f>
        <v>1.6346924999999999E-5</v>
      </c>
      <c r="S13" s="316">
        <f>S11/'List Values'!$B$16</f>
        <v>1.1987745E-5</v>
      </c>
      <c r="T13" s="316">
        <f>T11/'List Values'!$B$16</f>
        <v>1.1196523972602737E-5</v>
      </c>
      <c r="U13" s="316">
        <f>U11/'List Values'!$B$16</f>
        <v>4.449900553213909E-6</v>
      </c>
      <c r="V13" s="67"/>
    </row>
    <row r="14" spans="2:23" x14ac:dyDescent="0.2">
      <c r="O14" s="565" t="str">
        <f>_xlfn.CONCAT("Worker with Gloves; 
PF of ",'List Values'!$B$17)</f>
        <v>Worker with Gloves; 
PF of 10</v>
      </c>
      <c r="P14" s="71" t="s">
        <v>103</v>
      </c>
      <c r="Q14" s="316">
        <f>Q10/'List Values'!$B$17</f>
        <v>1.9616309999999997E-3</v>
      </c>
      <c r="R14" s="316">
        <f>R10/'List Values'!$B$17</f>
        <v>2.4520387499999996E-5</v>
      </c>
      <c r="S14" s="316">
        <f>S10/'List Values'!$B$17</f>
        <v>1.7981617499999995E-5</v>
      </c>
      <c r="T14" s="316">
        <f>T10/'List Values'!$B$17</f>
        <v>1.6794785958904108E-5</v>
      </c>
      <c r="U14" s="316">
        <f>U10/'List Values'!$B$17</f>
        <v>8.6127107481559525E-6</v>
      </c>
    </row>
    <row r="15" spans="2:23" ht="21" x14ac:dyDescent="0.35">
      <c r="C15" s="83" t="s">
        <v>105</v>
      </c>
      <c r="O15" s="565"/>
      <c r="P15" s="71" t="s">
        <v>27</v>
      </c>
      <c r="Q15" s="316">
        <f>Q11/'List Values'!$B$17</f>
        <v>6.5387699999999997E-4</v>
      </c>
      <c r="R15" s="316">
        <f>R11/'List Values'!$B$17</f>
        <v>8.1734624999999997E-6</v>
      </c>
      <c r="S15" s="316">
        <f>S11/'List Values'!$B$17</f>
        <v>5.9938725000000001E-6</v>
      </c>
      <c r="T15" s="316">
        <f>T11/'List Values'!$B$17</f>
        <v>5.5982619863013686E-6</v>
      </c>
      <c r="U15" s="316">
        <f>U11/'List Values'!$B$17</f>
        <v>2.2249502766069545E-6</v>
      </c>
    </row>
    <row r="16" spans="2:23" ht="28.5" customHeight="1" x14ac:dyDescent="0.2">
      <c r="B16" s="70"/>
      <c r="C16" s="568" t="s">
        <v>106</v>
      </c>
      <c r="D16" s="568" t="s">
        <v>107</v>
      </c>
      <c r="E16" s="568" t="s">
        <v>23</v>
      </c>
      <c r="F16" s="568" t="s">
        <v>108</v>
      </c>
      <c r="G16" s="568" t="s">
        <v>109</v>
      </c>
      <c r="H16" s="568"/>
      <c r="I16" s="90"/>
      <c r="J16" s="90"/>
      <c r="K16" s="90"/>
      <c r="L16" s="90"/>
      <c r="M16" s="90"/>
      <c r="O16" s="565" t="str">
        <f>_xlfn.CONCAT("Worker with Gloves; 
PF of ",'List Values'!$B$18)</f>
        <v>Worker with Gloves; 
PF of 20</v>
      </c>
      <c r="P16" s="71" t="s">
        <v>103</v>
      </c>
      <c r="Q16" s="316">
        <f>Q10/'List Values'!$B$18</f>
        <v>9.8081549999999985E-4</v>
      </c>
      <c r="R16" s="316">
        <f>R10/'List Values'!$B$18</f>
        <v>1.2260193749999998E-5</v>
      </c>
      <c r="S16" s="316">
        <f>S10/'List Values'!$B$18</f>
        <v>8.9908087499999976E-6</v>
      </c>
      <c r="T16" s="316">
        <f>T10/'List Values'!$B$18</f>
        <v>8.3973929794520542E-6</v>
      </c>
      <c r="U16" s="316">
        <f>U10/'List Values'!$B$18</f>
        <v>4.3063553740779762E-6</v>
      </c>
    </row>
    <row r="17" spans="2:21" ht="26.1" customHeight="1" x14ac:dyDescent="0.2">
      <c r="B17" s="70"/>
      <c r="C17" s="568"/>
      <c r="D17" s="568"/>
      <c r="E17" s="568"/>
      <c r="F17" s="568"/>
      <c r="G17" s="413" t="s">
        <v>110</v>
      </c>
      <c r="H17" s="413" t="s">
        <v>111</v>
      </c>
      <c r="I17" s="90"/>
      <c r="J17" s="90"/>
      <c r="K17" s="90"/>
      <c r="L17" s="90"/>
      <c r="M17" s="90"/>
      <c r="O17" s="565"/>
      <c r="P17" s="71" t="s">
        <v>27</v>
      </c>
      <c r="Q17" s="316">
        <f>Q11/'List Values'!$B$18</f>
        <v>3.2693849999999999E-4</v>
      </c>
      <c r="R17" s="316">
        <f>R11/'List Values'!$B$18</f>
        <v>4.0867312499999998E-6</v>
      </c>
      <c r="S17" s="316">
        <f>S11/'List Values'!$B$18</f>
        <v>2.99693625E-6</v>
      </c>
      <c r="T17" s="316">
        <f>T11/'List Values'!$B$18</f>
        <v>2.7991309931506843E-6</v>
      </c>
      <c r="U17" s="316">
        <f>U11/'List Values'!$B$18</f>
        <v>1.1124751383034773E-6</v>
      </c>
    </row>
    <row r="18" spans="2:21" ht="27.6" customHeight="1" x14ac:dyDescent="0.2">
      <c r="B18" s="70"/>
      <c r="C18" s="587" t="s">
        <v>112</v>
      </c>
      <c r="D18" s="580">
        <f>INDEX('Health Data'!$G:$G,MATCH($C$2,'Health Data'!$B:$B,0))</f>
        <v>2.4163399353274051</v>
      </c>
      <c r="E18" s="71" t="s">
        <v>103</v>
      </c>
      <c r="F18" s="412">
        <v>30</v>
      </c>
      <c r="G18" s="102">
        <f>D18/$F$10</f>
        <v>1315.5628536782538</v>
      </c>
      <c r="H18" s="102">
        <f>D18/$F$11</f>
        <v>777.89438166190268</v>
      </c>
      <c r="I18" s="77"/>
      <c r="J18" s="77"/>
      <c r="K18" s="77"/>
      <c r="L18" s="77"/>
      <c r="M18" s="77"/>
    </row>
    <row r="19" spans="2:21" ht="25.5" customHeight="1" x14ac:dyDescent="0.35">
      <c r="B19" s="70"/>
      <c r="C19" s="588"/>
      <c r="D19" s="555"/>
      <c r="E19" s="71" t="s">
        <v>27</v>
      </c>
      <c r="F19" s="412">
        <v>30</v>
      </c>
      <c r="G19" s="101">
        <f>D18/$F$12</f>
        <v>15443.563934483849</v>
      </c>
      <c r="H19" s="102">
        <f>D18/$F$13</f>
        <v>51181.071920961112</v>
      </c>
      <c r="I19" s="77"/>
      <c r="J19" s="77"/>
      <c r="K19" s="77"/>
      <c r="L19" s="77"/>
      <c r="M19" s="77"/>
      <c r="O19" s="83" t="s">
        <v>113</v>
      </c>
    </row>
    <row r="20" spans="2:21" ht="25.5" x14ac:dyDescent="0.2">
      <c r="B20" s="73"/>
      <c r="C20" s="74"/>
      <c r="D20" s="96"/>
      <c r="E20" s="76"/>
      <c r="F20" s="75"/>
      <c r="G20" s="77"/>
      <c r="H20" s="77"/>
      <c r="I20" s="77"/>
      <c r="J20" s="77"/>
      <c r="K20" s="77"/>
      <c r="L20" s="77"/>
      <c r="M20" s="77"/>
      <c r="O20" s="570" t="s">
        <v>106</v>
      </c>
      <c r="P20" s="570" t="s">
        <v>114</v>
      </c>
      <c r="Q20" s="570" t="s">
        <v>23</v>
      </c>
      <c r="R20" s="570" t="s">
        <v>108</v>
      </c>
      <c r="S20" s="411" t="s">
        <v>109</v>
      </c>
    </row>
    <row r="21" spans="2:21" ht="25.5" customHeight="1" x14ac:dyDescent="0.2">
      <c r="B21" s="73"/>
      <c r="C21" s="98" t="s">
        <v>115</v>
      </c>
      <c r="D21" s="96"/>
      <c r="E21" s="76"/>
      <c r="F21" s="75"/>
      <c r="G21" s="77"/>
      <c r="H21" s="77"/>
      <c r="I21" s="77"/>
      <c r="J21" s="77"/>
      <c r="K21" s="77"/>
      <c r="L21" s="77"/>
      <c r="M21" s="77"/>
      <c r="O21" s="571"/>
      <c r="P21" s="571"/>
      <c r="Q21" s="571"/>
      <c r="R21" s="571"/>
      <c r="S21" s="422" t="s">
        <v>116</v>
      </c>
    </row>
    <row r="22" spans="2:21" ht="25.5" customHeight="1" x14ac:dyDescent="0.2">
      <c r="B22" s="73"/>
      <c r="C22" s="568" t="s">
        <v>106</v>
      </c>
      <c r="D22" s="568" t="s">
        <v>107</v>
      </c>
      <c r="E22" s="569" t="s">
        <v>23</v>
      </c>
      <c r="F22" s="568" t="s">
        <v>108</v>
      </c>
      <c r="G22" s="568" t="s">
        <v>117</v>
      </c>
      <c r="H22" s="568"/>
      <c r="I22" s="77"/>
      <c r="J22" s="77"/>
      <c r="K22" s="77"/>
      <c r="L22" s="77"/>
      <c r="M22" s="77"/>
      <c r="O22" s="587" t="s">
        <v>118</v>
      </c>
      <c r="P22" s="589">
        <f>INDEX('Health Data'!$K:$K,MATCH($C$2,'Health Data'!$B:$B,0))</f>
        <v>19.899999999999999</v>
      </c>
      <c r="Q22" s="72" t="s">
        <v>103</v>
      </c>
      <c r="R22" s="412">
        <v>30</v>
      </c>
      <c r="S22" s="101">
        <f>P22/R10</f>
        <v>81156.955614995895</v>
      </c>
    </row>
    <row r="23" spans="2:21" ht="25.5" customHeight="1" x14ac:dyDescent="0.2">
      <c r="B23" s="73"/>
      <c r="C23" s="582"/>
      <c r="D23" s="582"/>
      <c r="E23" s="586"/>
      <c r="F23" s="582"/>
      <c r="G23" s="415" t="s">
        <v>110</v>
      </c>
      <c r="H23" s="415" t="s">
        <v>111</v>
      </c>
      <c r="I23" s="77"/>
      <c r="J23" s="77"/>
      <c r="K23" s="77"/>
      <c r="L23" s="77"/>
      <c r="M23" s="77"/>
      <c r="O23" s="588"/>
      <c r="P23" s="590"/>
      <c r="Q23" s="72" t="s">
        <v>27</v>
      </c>
      <c r="R23" s="412">
        <v>30</v>
      </c>
      <c r="S23" s="101">
        <f>P22/R11</f>
        <v>243470.86684498767</v>
      </c>
    </row>
    <row r="24" spans="2:21" ht="25.5" customHeight="1" x14ac:dyDescent="0.2">
      <c r="B24" s="73"/>
      <c r="C24" s="577" t="s">
        <v>149</v>
      </c>
      <c r="D24" s="598">
        <v>22</v>
      </c>
      <c r="E24" s="71" t="s">
        <v>103</v>
      </c>
      <c r="F24" s="412">
        <v>30</v>
      </c>
      <c r="G24" s="419">
        <f>D24/$G$10</f>
        <v>16333.333333333334</v>
      </c>
      <c r="H24" s="419">
        <f>D24/$G$11</f>
        <v>9657.925653865017</v>
      </c>
      <c r="I24" s="77"/>
      <c r="J24" s="77"/>
      <c r="K24" s="77"/>
      <c r="L24" s="77"/>
      <c r="M24" s="77"/>
      <c r="O24" s="74"/>
      <c r="P24" s="75"/>
      <c r="Q24" s="81"/>
      <c r="R24" s="75"/>
      <c r="S24" s="77"/>
    </row>
    <row r="25" spans="2:21" ht="25.5" customHeight="1" thickBot="1" x14ac:dyDescent="0.25">
      <c r="B25" s="73"/>
      <c r="C25" s="577"/>
      <c r="D25" s="598"/>
      <c r="E25" s="71" t="s">
        <v>27</v>
      </c>
      <c r="F25" s="412">
        <v>30</v>
      </c>
      <c r="G25" s="419">
        <f>D24/$G$12</f>
        <v>191739.13043478259</v>
      </c>
      <c r="H25" s="419">
        <f>D24/$G$13</f>
        <v>635437.14821763593</v>
      </c>
      <c r="I25" s="77"/>
      <c r="J25" s="77"/>
      <c r="K25" s="77"/>
      <c r="L25" s="77"/>
      <c r="M25" s="77"/>
      <c r="O25" s="97" t="s">
        <v>120</v>
      </c>
      <c r="P25" s="75"/>
      <c r="Q25" s="81"/>
      <c r="R25" s="75"/>
      <c r="S25" s="77"/>
    </row>
    <row r="26" spans="2:21" ht="38.25" x14ac:dyDescent="0.2">
      <c r="B26" s="73"/>
      <c r="C26" s="74"/>
      <c r="D26" s="96"/>
      <c r="E26" s="76"/>
      <c r="F26" s="75"/>
      <c r="G26" s="77"/>
      <c r="H26" s="77"/>
      <c r="I26" s="77"/>
      <c r="J26" s="77"/>
      <c r="K26" s="77"/>
      <c r="L26" s="77"/>
      <c r="M26" s="77"/>
      <c r="O26" s="568" t="s">
        <v>106</v>
      </c>
      <c r="P26" s="568" t="s">
        <v>121</v>
      </c>
      <c r="Q26" s="569" t="s">
        <v>23</v>
      </c>
      <c r="R26" s="568" t="s">
        <v>108</v>
      </c>
      <c r="S26" s="413" t="s">
        <v>117</v>
      </c>
    </row>
    <row r="27" spans="2:21" s="85" customFormat="1" ht="25.5" x14ac:dyDescent="0.35">
      <c r="B27" s="83"/>
      <c r="C27" s="83" t="s">
        <v>122</v>
      </c>
      <c r="F27" s="86"/>
      <c r="O27" s="568"/>
      <c r="P27" s="568"/>
      <c r="Q27" s="569"/>
      <c r="R27" s="568"/>
      <c r="S27" s="413" t="s">
        <v>116</v>
      </c>
      <c r="T27" s="66"/>
      <c r="U27" s="66"/>
    </row>
    <row r="28" spans="2:21" ht="26.1" customHeight="1" x14ac:dyDescent="0.2">
      <c r="B28" s="79"/>
      <c r="C28" s="568" t="s">
        <v>106</v>
      </c>
      <c r="D28" s="568" t="s">
        <v>107</v>
      </c>
      <c r="E28" s="568" t="s">
        <v>23</v>
      </c>
      <c r="F28" s="568" t="s">
        <v>108</v>
      </c>
      <c r="G28" s="568" t="s">
        <v>123</v>
      </c>
      <c r="H28" s="568"/>
      <c r="I28" s="90"/>
      <c r="J28" s="90"/>
      <c r="K28" s="90"/>
      <c r="L28" s="90"/>
      <c r="M28" s="90"/>
      <c r="O28" s="579" t="s">
        <v>124</v>
      </c>
      <c r="P28" s="580">
        <f>INDEX('Health Data'!$T:$T,MATCH($C$2,'Health Data'!$B:$B,0))</f>
        <v>6.5</v>
      </c>
      <c r="Q28" s="72" t="s">
        <v>103</v>
      </c>
      <c r="R28" s="412">
        <v>30</v>
      </c>
      <c r="S28" s="107">
        <f>P28/$S$10</f>
        <v>36148.02728397488</v>
      </c>
    </row>
    <row r="29" spans="2:21" x14ac:dyDescent="0.2">
      <c r="B29" s="79"/>
      <c r="C29" s="568"/>
      <c r="D29" s="568"/>
      <c r="E29" s="568"/>
      <c r="F29" s="568"/>
      <c r="G29" s="413" t="s">
        <v>110</v>
      </c>
      <c r="H29" s="413" t="s">
        <v>111</v>
      </c>
      <c r="I29" s="90"/>
      <c r="J29" s="90"/>
      <c r="K29" s="90"/>
      <c r="L29" s="90"/>
      <c r="M29" s="90"/>
      <c r="O29" s="579"/>
      <c r="P29" s="555"/>
      <c r="Q29" s="72" t="s">
        <v>27</v>
      </c>
      <c r="R29" s="412">
        <v>30</v>
      </c>
      <c r="S29" s="107">
        <f>P28/$S$11</f>
        <v>108444.08185192461</v>
      </c>
    </row>
    <row r="30" spans="2:21" ht="33" customHeight="1" x14ac:dyDescent="0.2">
      <c r="B30" s="79"/>
      <c r="C30" s="577" t="s">
        <v>149</v>
      </c>
      <c r="D30" s="578">
        <f>INDEX('Health Data'!$P:$P,MATCH($C$2,'Health Data'!$B:$B,0))</f>
        <v>5.2378738884397729</v>
      </c>
      <c r="E30" s="72" t="s">
        <v>103</v>
      </c>
      <c r="F30" s="412">
        <v>300</v>
      </c>
      <c r="G30" s="419">
        <f>D30/$H$10</f>
        <v>4163.5277553220149</v>
      </c>
      <c r="H30" s="419">
        <f>D30/$H$11</f>
        <v>2461.9005011451136</v>
      </c>
      <c r="I30" s="77"/>
      <c r="J30" s="77"/>
      <c r="K30" s="77"/>
      <c r="L30" s="77"/>
      <c r="M30" s="77"/>
      <c r="O30" s="74"/>
      <c r="P30" s="75"/>
      <c r="Q30" s="81"/>
      <c r="R30" s="75"/>
      <c r="S30" s="77"/>
    </row>
    <row r="31" spans="2:21" ht="33" customHeight="1" x14ac:dyDescent="0.35">
      <c r="B31" s="79"/>
      <c r="C31" s="577"/>
      <c r="D31" s="559"/>
      <c r="E31" s="72" t="s">
        <v>27</v>
      </c>
      <c r="F31" s="412">
        <v>300</v>
      </c>
      <c r="G31" s="419">
        <f>D30/$H$12</f>
        <v>48876.195388562788</v>
      </c>
      <c r="H31" s="419">
        <f>D30/$H$13</f>
        <v>161979.19612449777</v>
      </c>
      <c r="I31" s="77"/>
      <c r="J31" s="77"/>
      <c r="K31" s="77"/>
      <c r="L31" s="77"/>
      <c r="M31" s="77"/>
      <c r="O31" s="83" t="s">
        <v>125</v>
      </c>
      <c r="P31" s="85"/>
      <c r="Q31" s="85"/>
      <c r="R31" s="85"/>
      <c r="S31" s="85"/>
      <c r="T31" s="85"/>
      <c r="U31" s="85"/>
    </row>
    <row r="32" spans="2:21" ht="25.5" x14ac:dyDescent="0.2">
      <c r="B32" s="79"/>
      <c r="C32" s="80"/>
      <c r="D32" s="75"/>
      <c r="E32" s="81"/>
      <c r="F32" s="75"/>
      <c r="G32" s="77"/>
      <c r="H32" s="77"/>
      <c r="I32" s="77"/>
      <c r="J32" s="77"/>
      <c r="K32" s="77"/>
      <c r="L32" s="77"/>
      <c r="M32" s="77"/>
      <c r="O32" s="566" t="s">
        <v>106</v>
      </c>
      <c r="P32" s="566" t="s">
        <v>121</v>
      </c>
      <c r="Q32" s="566" t="s">
        <v>23</v>
      </c>
      <c r="R32" s="566" t="s">
        <v>108</v>
      </c>
      <c r="S32" s="411" t="s">
        <v>123</v>
      </c>
    </row>
    <row r="33" spans="2:19" ht="33" customHeight="1" x14ac:dyDescent="0.35">
      <c r="B33" s="79"/>
      <c r="C33" s="83" t="s">
        <v>126</v>
      </c>
      <c r="D33" s="85"/>
      <c r="E33" s="85"/>
      <c r="F33" s="85"/>
      <c r="G33" s="85"/>
      <c r="H33" s="85"/>
      <c r="I33" s="77"/>
      <c r="J33" s="77"/>
      <c r="K33" s="77"/>
      <c r="L33" s="77"/>
      <c r="M33" s="77"/>
      <c r="O33" s="581"/>
      <c r="P33" s="567"/>
      <c r="Q33" s="567"/>
      <c r="R33" s="567"/>
      <c r="S33" s="411" t="s">
        <v>116</v>
      </c>
    </row>
    <row r="34" spans="2:19" ht="33" customHeight="1" x14ac:dyDescent="0.2">
      <c r="B34" s="79"/>
      <c r="C34" s="582" t="s">
        <v>127</v>
      </c>
      <c r="D34" s="566" t="s">
        <v>128</v>
      </c>
      <c r="E34" s="566" t="s">
        <v>23</v>
      </c>
      <c r="F34" s="583" t="s">
        <v>129</v>
      </c>
      <c r="G34" s="568" t="s">
        <v>130</v>
      </c>
      <c r="H34" s="568"/>
      <c r="I34" s="77"/>
      <c r="J34" s="77"/>
      <c r="K34" s="77"/>
      <c r="L34" s="77"/>
      <c r="M34" s="77"/>
      <c r="O34" s="579" t="s">
        <v>124</v>
      </c>
      <c r="P34" s="580">
        <f>INDEX('Health Data'!$T:$T,MATCH($C$2,'Health Data'!$B:$B,0))</f>
        <v>6.5</v>
      </c>
      <c r="Q34" s="72" t="s">
        <v>103</v>
      </c>
      <c r="R34" s="412">
        <v>300</v>
      </c>
      <c r="S34" s="107">
        <f>P34/$T$10</f>
        <v>38702.4878787091</v>
      </c>
    </row>
    <row r="35" spans="2:19" ht="33" customHeight="1" x14ac:dyDescent="0.2">
      <c r="B35" s="79"/>
      <c r="C35" s="530"/>
      <c r="D35" s="567"/>
      <c r="E35" s="567"/>
      <c r="F35" s="584"/>
      <c r="G35" s="413" t="s">
        <v>131</v>
      </c>
      <c r="H35" s="413" t="s">
        <v>28</v>
      </c>
      <c r="I35" s="77"/>
      <c r="J35" s="77"/>
      <c r="K35" s="77"/>
      <c r="L35" s="77"/>
      <c r="M35" s="77"/>
      <c r="O35" s="579"/>
      <c r="P35" s="555"/>
      <c r="Q35" s="72" t="s">
        <v>27</v>
      </c>
      <c r="R35" s="412">
        <v>300</v>
      </c>
      <c r="S35" s="107">
        <f>P34/$T$11</f>
        <v>116107.4636361273</v>
      </c>
    </row>
    <row r="36" spans="2:19" ht="33" customHeight="1" x14ac:dyDescent="0.2">
      <c r="B36" s="79"/>
      <c r="C36" s="572" t="s">
        <v>132</v>
      </c>
      <c r="D36" s="574">
        <f>INDEX('Health Data'!$Y:$Y,MATCH($C$2,'Health Data'!$B:$B,0))</f>
        <v>2.8736850715746418E-2</v>
      </c>
      <c r="E36" s="71" t="s">
        <v>103</v>
      </c>
      <c r="F36" s="107">
        <v>1E-4</v>
      </c>
      <c r="G36" s="103">
        <f>I10*D36</f>
        <v>1.8539504988546324E-5</v>
      </c>
      <c r="H36" s="104">
        <f>I11*D36</f>
        <v>3.1353721872122776E-5</v>
      </c>
      <c r="I36" s="77"/>
      <c r="J36" s="77"/>
      <c r="K36" s="77"/>
      <c r="L36" s="77"/>
      <c r="M36" s="77"/>
    </row>
    <row r="37" spans="2:19" ht="33" customHeight="1" x14ac:dyDescent="0.35">
      <c r="B37" s="79"/>
      <c r="C37" s="573"/>
      <c r="D37" s="575"/>
      <c r="E37" s="71" t="s">
        <v>27</v>
      </c>
      <c r="F37" s="107">
        <v>1E-4</v>
      </c>
      <c r="G37" s="105">
        <f>I12*D36</f>
        <v>1.2239506534105119E-6</v>
      </c>
      <c r="H37" s="104">
        <f>I13*D36</f>
        <v>3.693193491099427E-7</v>
      </c>
      <c r="I37" s="77"/>
      <c r="J37" s="77"/>
      <c r="K37" s="77"/>
      <c r="L37" s="77"/>
      <c r="M37" s="77"/>
      <c r="O37" s="83" t="s">
        <v>126</v>
      </c>
      <c r="P37" s="85"/>
      <c r="Q37" s="85"/>
      <c r="R37" s="85"/>
      <c r="S37" s="85"/>
    </row>
    <row r="38" spans="2:19" ht="33" customHeight="1" x14ac:dyDescent="0.2">
      <c r="B38" s="79"/>
      <c r="I38" s="77"/>
      <c r="J38" s="77"/>
      <c r="K38" s="77"/>
      <c r="L38" s="77"/>
      <c r="M38" s="77"/>
      <c r="O38" s="566" t="s">
        <v>127</v>
      </c>
      <c r="P38" s="566" t="s">
        <v>133</v>
      </c>
      <c r="Q38" s="566" t="s">
        <v>23</v>
      </c>
      <c r="R38" s="566" t="s">
        <v>129</v>
      </c>
      <c r="S38" s="411" t="s">
        <v>130</v>
      </c>
    </row>
    <row r="39" spans="2:19" ht="33" customHeight="1" x14ac:dyDescent="0.35">
      <c r="B39" s="79"/>
      <c r="C39" s="83" t="s">
        <v>134</v>
      </c>
      <c r="I39" s="77"/>
      <c r="J39" s="77"/>
      <c r="K39" s="77"/>
      <c r="L39" s="77"/>
      <c r="M39" s="77"/>
      <c r="O39" s="567"/>
      <c r="P39" s="567"/>
      <c r="Q39" s="567"/>
      <c r="R39" s="567"/>
      <c r="S39" s="411" t="s">
        <v>135</v>
      </c>
    </row>
    <row r="40" spans="2:19" ht="33" customHeight="1" thickBot="1" x14ac:dyDescent="0.4">
      <c r="B40" s="79"/>
      <c r="C40" s="83"/>
      <c r="I40" s="77"/>
      <c r="J40" s="77"/>
      <c r="K40" s="77"/>
      <c r="L40" s="77"/>
      <c r="M40" s="77"/>
      <c r="O40" s="572" t="s">
        <v>156</v>
      </c>
      <c r="P40" s="574" t="str">
        <f>INDEX('Health Data'!$AB:$AB,MATCH($C$2,'Health Data'!$B:$B,0))</f>
        <v>Not Quantified</v>
      </c>
      <c r="Q40" s="71" t="s">
        <v>103</v>
      </c>
      <c r="R40" s="597"/>
      <c r="S40" s="107"/>
    </row>
    <row r="41" spans="2:19" ht="33" customHeight="1" x14ac:dyDescent="0.25">
      <c r="B41" s="79"/>
      <c r="C41" s="325" t="s">
        <v>136</v>
      </c>
      <c r="I41" s="77"/>
      <c r="J41" s="77"/>
      <c r="K41" s="77"/>
      <c r="L41" s="77"/>
      <c r="M41" s="77"/>
      <c r="O41" s="576"/>
      <c r="P41" s="575"/>
      <c r="Q41" s="71" t="s">
        <v>27</v>
      </c>
      <c r="R41" s="596"/>
      <c r="S41" s="107"/>
    </row>
    <row r="42" spans="2:19" ht="33" customHeight="1" thickBot="1" x14ac:dyDescent="0.3">
      <c r="B42" s="79"/>
      <c r="C42" s="326" t="s">
        <v>30</v>
      </c>
      <c r="I42" s="77"/>
      <c r="J42" s="77"/>
      <c r="K42" s="77"/>
      <c r="L42" s="77"/>
      <c r="M42" s="77"/>
    </row>
    <row r="43" spans="2:19" ht="33" customHeight="1" x14ac:dyDescent="0.3">
      <c r="B43" s="79"/>
      <c r="C43" s="317"/>
      <c r="I43" s="77"/>
      <c r="J43" s="77"/>
      <c r="K43" s="77"/>
      <c r="L43" s="77"/>
      <c r="M43" s="77"/>
      <c r="O43" s="68" t="s">
        <v>157</v>
      </c>
    </row>
    <row r="44" spans="2:19" ht="33" customHeight="1" thickBot="1" x14ac:dyDescent="0.25">
      <c r="B44" s="79"/>
      <c r="I44" s="77"/>
      <c r="J44" s="77"/>
      <c r="K44" s="77"/>
      <c r="L44" s="77"/>
      <c r="M44" s="77"/>
    </row>
    <row r="45" spans="2:19" ht="33" customHeight="1" x14ac:dyDescent="0.2">
      <c r="B45" s="548" t="s">
        <v>138</v>
      </c>
      <c r="C45" s="540" t="s">
        <v>107</v>
      </c>
      <c r="D45" s="540" t="s">
        <v>23</v>
      </c>
      <c r="E45" s="540" t="s">
        <v>108</v>
      </c>
      <c r="F45" s="540" t="str">
        <f>_xlfn.CONCAT("Exposure Estimates: ",$C$42," MOE")</f>
        <v>Exposure Estimates: Worker MOE</v>
      </c>
      <c r="G45" s="540"/>
      <c r="H45" s="540"/>
      <c r="I45" s="540"/>
      <c r="J45" s="540"/>
      <c r="K45" s="542"/>
      <c r="L45" s="77"/>
      <c r="M45" s="77"/>
    </row>
    <row r="46" spans="2:19" ht="33" customHeight="1" thickBot="1" x14ac:dyDescent="0.25">
      <c r="B46" s="549"/>
      <c r="C46" s="541"/>
      <c r="D46" s="541"/>
      <c r="E46" s="541"/>
      <c r="F46" s="416" t="s">
        <v>139</v>
      </c>
      <c r="G46" s="416" t="s">
        <v>34</v>
      </c>
      <c r="H46" s="416" t="s">
        <v>35</v>
      </c>
      <c r="I46" s="416" t="s">
        <v>32</v>
      </c>
      <c r="J46" s="416" t="s">
        <v>140</v>
      </c>
      <c r="K46" s="290" t="s">
        <v>31</v>
      </c>
      <c r="L46" s="77"/>
      <c r="M46" s="77"/>
    </row>
    <row r="47" spans="2:19" ht="33" customHeight="1" x14ac:dyDescent="0.2">
      <c r="B47" s="550" t="s">
        <v>143</v>
      </c>
      <c r="C47" s="555">
        <f>INDEX('Health Data'!$G:$G,MATCH($C$2,'Health Data'!$B:$B,0))</f>
        <v>2.4163399353274051</v>
      </c>
      <c r="D47" s="292" t="s">
        <v>103</v>
      </c>
      <c r="E47" s="421">
        <v>30</v>
      </c>
      <c r="F47" s="304">
        <f>IFERROR($C47/IF($C$42="Worker",$F$10,$F$11), "")</f>
        <v>1315.5628536782538</v>
      </c>
      <c r="G47" s="305">
        <f>IFERROR($F47*'List Values'!$B$9, "")</f>
        <v>13155.628536782537</v>
      </c>
      <c r="H47" s="305">
        <f>IFERROR($F47*'List Values'!$B$10, "")</f>
        <v>32889.071341956347</v>
      </c>
      <c r="I47" s="305">
        <f>IFERROR($F47*'List Values'!$B$11, "")</f>
        <v>65778.142683912694</v>
      </c>
      <c r="J47" s="305">
        <f>IFERROR($F47*'List Values'!$B$12, "")</f>
        <v>1315562.8536782537</v>
      </c>
      <c r="K47" s="306">
        <f>IFERROR($F47*'List Values'!$B$13, "")</f>
        <v>13155628.536782539</v>
      </c>
      <c r="L47" s="77"/>
      <c r="M47" s="77"/>
    </row>
    <row r="48" spans="2:19" ht="33" customHeight="1" thickBot="1" x14ac:dyDescent="0.25">
      <c r="B48" s="551"/>
      <c r="C48" s="556"/>
      <c r="D48" s="293" t="s">
        <v>27</v>
      </c>
      <c r="E48" s="418">
        <v>30</v>
      </c>
      <c r="F48" s="303">
        <f>IFERROR($C47/IF($C$42="Worker",$F$12,$F$13), "")</f>
        <v>15443.563934483849</v>
      </c>
      <c r="G48" s="303">
        <f>IFERROR($F48*'List Values'!$B$9, "")</f>
        <v>154435.63934483851</v>
      </c>
      <c r="H48" s="303">
        <f>IFERROR($F48*'List Values'!$B$10, "")</f>
        <v>386089.09836209624</v>
      </c>
      <c r="I48" s="303">
        <f>IFERROR($F48*'List Values'!$B$11, "")</f>
        <v>772178.19672419247</v>
      </c>
      <c r="J48" s="303">
        <f>IFERROR($F48*'List Values'!$B$12, "")</f>
        <v>15443563.934483849</v>
      </c>
      <c r="K48" s="307">
        <f>IFERROR($F48*'List Values'!$B$13, "")</f>
        <v>154435639.3448385</v>
      </c>
      <c r="L48" s="77"/>
      <c r="M48" s="77"/>
    </row>
    <row r="49" spans="2:21" ht="33" customHeight="1" x14ac:dyDescent="0.2">
      <c r="B49" s="552" t="s">
        <v>144</v>
      </c>
      <c r="C49" s="557">
        <v>22</v>
      </c>
      <c r="D49" s="299" t="s">
        <v>103</v>
      </c>
      <c r="E49" s="417">
        <v>30</v>
      </c>
      <c r="F49" s="300">
        <f>IFERROR($C49/IF($C$42="Worker",$G$10,$G$11), "")</f>
        <v>16333.333333333334</v>
      </c>
      <c r="G49" s="301">
        <f>IFERROR($F49*'List Values'!$B$9, "")</f>
        <v>163333.33333333334</v>
      </c>
      <c r="H49" s="301">
        <f>IFERROR($F49*'List Values'!$B$10, "")</f>
        <v>408333.33333333337</v>
      </c>
      <c r="I49" s="301">
        <f>IFERROR($F49*'List Values'!$B$11, "")</f>
        <v>816666.66666666674</v>
      </c>
      <c r="J49" s="301">
        <f>IFERROR($F49*'List Values'!$B$12, "")</f>
        <v>16333333.333333334</v>
      </c>
      <c r="K49" s="302">
        <f>IFERROR($F49*'List Values'!$B$13, "")</f>
        <v>163333333.33333334</v>
      </c>
      <c r="L49" s="77"/>
      <c r="M49" s="77"/>
    </row>
    <row r="50" spans="2:21" ht="33" customHeight="1" thickBot="1" x14ac:dyDescent="0.25">
      <c r="B50" s="551"/>
      <c r="C50" s="558"/>
      <c r="D50" s="293" t="s">
        <v>27</v>
      </c>
      <c r="E50" s="418">
        <v>30</v>
      </c>
      <c r="F50" s="303">
        <f>IFERROR($C49/IF($C$42="Worker",$G$12,$G$13), "")</f>
        <v>191739.13043478259</v>
      </c>
      <c r="G50" s="303">
        <f>IFERROR($F50*'List Values'!$B$9, "")</f>
        <v>1917391.3043478259</v>
      </c>
      <c r="H50" s="303">
        <f>IFERROR($F50*'List Values'!$B$10, "")</f>
        <v>4793478.2608695645</v>
      </c>
      <c r="I50" s="303">
        <f>IFERROR($F50*'List Values'!$B$11, "")</f>
        <v>9586956.521739129</v>
      </c>
      <c r="J50" s="303">
        <f>IFERROR($F50*'List Values'!$B$12, "")</f>
        <v>191739130.43478259</v>
      </c>
      <c r="K50" s="307">
        <f>IFERROR($F50*'List Values'!$B$13, "")</f>
        <v>1917391304.347826</v>
      </c>
      <c r="L50" s="77"/>
      <c r="M50" s="77"/>
    </row>
    <row r="51" spans="2:21" ht="33" customHeight="1" x14ac:dyDescent="0.2">
      <c r="B51" s="553" t="s">
        <v>145</v>
      </c>
      <c r="C51" s="559">
        <f>INDEX('Health Data'!$P:$P,MATCH($C$2,'Health Data'!$B:$B,0))</f>
        <v>5.2378738884397729</v>
      </c>
      <c r="D51" s="292" t="s">
        <v>103</v>
      </c>
      <c r="E51" s="421">
        <v>300</v>
      </c>
      <c r="F51" s="304">
        <f>IFERROR($C51/IF($C$42="Worker",$H$10,$H$11), "")</f>
        <v>4163.5277553220149</v>
      </c>
      <c r="G51" s="305">
        <f>IFERROR($F51*'List Values'!$B$9, "")</f>
        <v>41635.277553220149</v>
      </c>
      <c r="H51" s="305">
        <f>IFERROR($F51*'List Values'!$B$10, "")</f>
        <v>104088.19388305038</v>
      </c>
      <c r="I51" s="305">
        <f>IFERROR($F51*'List Values'!$B$11, "")</f>
        <v>208176.38776610076</v>
      </c>
      <c r="J51" s="305">
        <f>IFERROR($F51*'List Values'!$B$12, "")</f>
        <v>4163527.7553220149</v>
      </c>
      <c r="K51" s="306">
        <f>IFERROR($F51*'List Values'!$B$13, "")</f>
        <v>41635277.553220145</v>
      </c>
      <c r="L51" s="77"/>
      <c r="M51" s="77"/>
    </row>
    <row r="52" spans="2:21" ht="33" customHeight="1" thickBot="1" x14ac:dyDescent="0.25">
      <c r="B52" s="554"/>
      <c r="C52" s="560"/>
      <c r="D52" s="293" t="s">
        <v>27</v>
      </c>
      <c r="E52" s="418">
        <v>300</v>
      </c>
      <c r="F52" s="303">
        <f>IFERROR($C51/IF($C$42="Worker",$H$12,$H$13), "")</f>
        <v>48876.195388562788</v>
      </c>
      <c r="G52" s="303">
        <f>IFERROR($F52*'List Values'!$B$9, "")</f>
        <v>488761.95388562791</v>
      </c>
      <c r="H52" s="303">
        <f>IFERROR($F52*'List Values'!$B$10, "")</f>
        <v>1221904.8847140698</v>
      </c>
      <c r="I52" s="303">
        <f>IFERROR($F52*'List Values'!$B$11, "")</f>
        <v>2443809.7694281396</v>
      </c>
      <c r="J52" s="303">
        <f>IFERROR($F52*'List Values'!$B$12, "")</f>
        <v>48876195.388562791</v>
      </c>
      <c r="K52" s="307">
        <f>IFERROR($F52*'List Values'!$B$13, "")</f>
        <v>488761953.88562787</v>
      </c>
      <c r="L52" s="77"/>
      <c r="M52" s="77"/>
    </row>
    <row r="53" spans="2:21" ht="33" customHeight="1" x14ac:dyDescent="0.2">
      <c r="B53" s="294"/>
      <c r="C53" s="547" t="s">
        <v>146</v>
      </c>
      <c r="D53" s="530" t="s">
        <v>23</v>
      </c>
      <c r="E53" s="530" t="s">
        <v>108</v>
      </c>
      <c r="F53" s="530" t="str">
        <f>_xlfn.CONCAT("Exposure Estimates: ",$C$42," MOE")</f>
        <v>Exposure Estimates: Worker MOE</v>
      </c>
      <c r="G53" s="530"/>
      <c r="H53" s="530"/>
      <c r="I53" s="530"/>
      <c r="J53" s="530"/>
      <c r="K53" s="531"/>
      <c r="L53" s="77"/>
      <c r="M53" s="77"/>
    </row>
    <row r="54" spans="2:21" ht="33" customHeight="1" thickBot="1" x14ac:dyDescent="0.25">
      <c r="B54" s="294"/>
      <c r="C54" s="533"/>
      <c r="D54" s="541"/>
      <c r="E54" s="541"/>
      <c r="F54" s="416" t="s">
        <v>139</v>
      </c>
      <c r="G54" s="416" t="s">
        <v>34</v>
      </c>
      <c r="H54" s="416" t="s">
        <v>35</v>
      </c>
      <c r="I54" s="416" t="s">
        <v>32</v>
      </c>
      <c r="J54" s="416" t="s">
        <v>140</v>
      </c>
      <c r="K54" s="290" t="s">
        <v>31</v>
      </c>
      <c r="L54" s="77"/>
      <c r="M54" s="77"/>
    </row>
    <row r="55" spans="2:21" ht="33" customHeight="1" x14ac:dyDescent="0.2">
      <c r="B55" s="545" t="s">
        <v>148</v>
      </c>
      <c r="C55" s="543">
        <f>INDEX('Health Data'!$Y:$Y,MATCH($C$2,'Health Data'!$B:$B,0))</f>
        <v>2.8736850715746418E-2</v>
      </c>
      <c r="D55" s="299" t="s">
        <v>103</v>
      </c>
      <c r="E55" s="107">
        <v>1E-4</v>
      </c>
      <c r="F55" s="340">
        <f>IFERROR($C55*IF($C$42="Worker",$I$10,$I$11), "")</f>
        <v>1.8539504988546324E-5</v>
      </c>
      <c r="G55" s="341">
        <f>IFERROR($F55/'List Values'!$B$9, "")</f>
        <v>1.8539504988546323E-6</v>
      </c>
      <c r="H55" s="341">
        <f>IFERROR($F55/'List Values'!$B$10, "")</f>
        <v>7.4158019954185299E-7</v>
      </c>
      <c r="I55" s="341">
        <f>IFERROR($F55/'List Values'!$B$11, "")</f>
        <v>3.707900997709265E-7</v>
      </c>
      <c r="J55" s="341">
        <f>IFERROR($F55/'List Values'!$B$12, "")</f>
        <v>1.8539504988546325E-8</v>
      </c>
      <c r="K55" s="342">
        <f>IFERROR($F55/'List Values'!$B$13, "")</f>
        <v>1.8539504988546323E-9</v>
      </c>
      <c r="L55" s="77"/>
      <c r="M55" s="77"/>
    </row>
    <row r="56" spans="2:21" ht="33" customHeight="1" thickBot="1" x14ac:dyDescent="0.25">
      <c r="B56" s="546"/>
      <c r="C56" s="544"/>
      <c r="D56" s="293" t="s">
        <v>27</v>
      </c>
      <c r="E56" s="107">
        <v>1E-4</v>
      </c>
      <c r="F56" s="337">
        <f>IFERROR($C55*IF($C$42="Worker",$I$12,$I$13), "")</f>
        <v>1.2239506534105119E-6</v>
      </c>
      <c r="G56" s="338">
        <f>IFERROR($F56/'List Values'!$B$9, "")</f>
        <v>1.2239506534105117E-7</v>
      </c>
      <c r="H56" s="338">
        <f>IFERROR($F56/'List Values'!$B$10, "")</f>
        <v>4.8958026136420475E-8</v>
      </c>
      <c r="I56" s="338">
        <f>IFERROR($F56/'List Values'!$B$11, "")</f>
        <v>2.4479013068210238E-8</v>
      </c>
      <c r="J56" s="338">
        <f>IFERROR($F56/'List Values'!$B$12, "")</f>
        <v>1.2239506534105119E-9</v>
      </c>
      <c r="K56" s="339">
        <f>IFERROR($F56/'List Values'!$B$13, "")</f>
        <v>1.2239506534105119E-10</v>
      </c>
      <c r="L56" s="77"/>
      <c r="M56" s="77"/>
    </row>
    <row r="57" spans="2:21" ht="33" customHeight="1" x14ac:dyDescent="0.2">
      <c r="B57" s="79"/>
      <c r="I57" s="77"/>
      <c r="J57" s="77"/>
      <c r="K57" s="77"/>
      <c r="L57" s="77"/>
      <c r="M57" s="77"/>
    </row>
    <row r="58" spans="2:21" ht="33" customHeight="1" x14ac:dyDescent="0.2">
      <c r="B58" s="79"/>
      <c r="I58" s="77"/>
      <c r="J58" s="77"/>
      <c r="K58" s="77"/>
      <c r="L58" s="77"/>
      <c r="M58" s="77"/>
    </row>
    <row r="59" spans="2:21" ht="33" customHeight="1" x14ac:dyDescent="0.2">
      <c r="B59" s="79"/>
      <c r="I59" s="77"/>
      <c r="J59" s="77"/>
      <c r="K59" s="77"/>
      <c r="L59" s="77"/>
      <c r="M59" s="77"/>
    </row>
    <row r="60" spans="2:21" ht="33" customHeight="1" x14ac:dyDescent="0.2">
      <c r="B60" s="79"/>
      <c r="I60" s="77"/>
      <c r="J60" s="77"/>
      <c r="K60" s="77"/>
      <c r="L60" s="77"/>
      <c r="M60" s="77"/>
    </row>
    <row r="61" spans="2:21" s="85" customFormat="1" ht="21" x14ac:dyDescent="0.35">
      <c r="C61" s="66"/>
      <c r="D61" s="66"/>
      <c r="E61" s="66"/>
      <c r="F61" s="66"/>
      <c r="G61" s="66"/>
      <c r="H61" s="66"/>
      <c r="O61" s="66"/>
      <c r="P61" s="66"/>
      <c r="Q61" s="66"/>
      <c r="R61" s="66"/>
      <c r="S61" s="66"/>
      <c r="T61" s="66"/>
      <c r="U61" s="66"/>
    </row>
    <row r="62" spans="2:21" ht="25.5" customHeight="1" x14ac:dyDescent="0.2">
      <c r="B62" s="82"/>
      <c r="I62" s="90"/>
      <c r="J62" s="90"/>
      <c r="K62" s="90"/>
      <c r="L62" s="90"/>
      <c r="M62" s="90"/>
    </row>
    <row r="63" spans="2:21" ht="14.45" customHeight="1" x14ac:dyDescent="0.2">
      <c r="B63" s="82"/>
      <c r="I63" s="90"/>
      <c r="J63" s="90"/>
      <c r="K63" s="90"/>
      <c r="L63" s="90"/>
      <c r="M63" s="90"/>
    </row>
    <row r="64" spans="2:21" x14ac:dyDescent="0.2">
      <c r="B64" s="82"/>
      <c r="I64" s="89"/>
      <c r="J64" s="89"/>
      <c r="K64" s="89"/>
      <c r="L64" s="89"/>
      <c r="M64" s="89"/>
    </row>
    <row r="65" spans="2:21" ht="21" x14ac:dyDescent="0.35">
      <c r="B65" s="82"/>
      <c r="I65" s="89"/>
      <c r="J65" s="89"/>
      <c r="K65" s="89"/>
      <c r="L65" s="89"/>
      <c r="M65" s="89"/>
      <c r="T65" s="85"/>
      <c r="U65" s="85"/>
    </row>
    <row r="69" spans="2:21" ht="29.1" customHeight="1" x14ac:dyDescent="0.2"/>
  </sheetData>
  <sheetProtection sheet="1" objects="1" scenarios="1" formatCells="0" formatColumns="0" formatRows="0"/>
  <mergeCells count="80">
    <mergeCell ref="C8:C9"/>
    <mergeCell ref="D8:D9"/>
    <mergeCell ref="O8:O9"/>
    <mergeCell ref="P8:P9"/>
    <mergeCell ref="D10:D11"/>
    <mergeCell ref="O10:O11"/>
    <mergeCell ref="R20:R21"/>
    <mergeCell ref="C18:C19"/>
    <mergeCell ref="D18:D19"/>
    <mergeCell ref="G16:H16"/>
    <mergeCell ref="D12:D13"/>
    <mergeCell ref="C16:C17"/>
    <mergeCell ref="D16:D17"/>
    <mergeCell ref="E16:E17"/>
    <mergeCell ref="F16:F17"/>
    <mergeCell ref="O12:O13"/>
    <mergeCell ref="O14:O15"/>
    <mergeCell ref="O16:O17"/>
    <mergeCell ref="O22:O23"/>
    <mergeCell ref="P22:P23"/>
    <mergeCell ref="P26:P27"/>
    <mergeCell ref="P20:P21"/>
    <mergeCell ref="Q20:Q21"/>
    <mergeCell ref="Q26:Q27"/>
    <mergeCell ref="R26:R27"/>
    <mergeCell ref="C24:C25"/>
    <mergeCell ref="D24:D25"/>
    <mergeCell ref="P32:P33"/>
    <mergeCell ref="Q32:Q33"/>
    <mergeCell ref="R32:R33"/>
    <mergeCell ref="C30:C31"/>
    <mergeCell ref="D30:D31"/>
    <mergeCell ref="O32:O33"/>
    <mergeCell ref="P28:P29"/>
    <mergeCell ref="O26:O27"/>
    <mergeCell ref="C28:C29"/>
    <mergeCell ref="D28:D29"/>
    <mergeCell ref="E28:E29"/>
    <mergeCell ref="F28:F29"/>
    <mergeCell ref="G28:H28"/>
    <mergeCell ref="P40:P41"/>
    <mergeCell ref="R40:R41"/>
    <mergeCell ref="C34:C35"/>
    <mergeCell ref="D34:D35"/>
    <mergeCell ref="E34:E35"/>
    <mergeCell ref="F34:F35"/>
    <mergeCell ref="G34:H34"/>
    <mergeCell ref="O38:O39"/>
    <mergeCell ref="O34:O35"/>
    <mergeCell ref="P34:P35"/>
    <mergeCell ref="P38:P39"/>
    <mergeCell ref="Q38:Q39"/>
    <mergeCell ref="R38:R39"/>
    <mergeCell ref="C36:C37"/>
    <mergeCell ref="D36:D37"/>
    <mergeCell ref="O40:O41"/>
    <mergeCell ref="O28:O29"/>
    <mergeCell ref="O20:O21"/>
    <mergeCell ref="B47:B48"/>
    <mergeCell ref="C47:C48"/>
    <mergeCell ref="B49:B50"/>
    <mergeCell ref="C49:C50"/>
    <mergeCell ref="B45:B46"/>
    <mergeCell ref="C45:C46"/>
    <mergeCell ref="D45:D46"/>
    <mergeCell ref="E45:E46"/>
    <mergeCell ref="F45:K45"/>
    <mergeCell ref="C22:C23"/>
    <mergeCell ref="D22:D23"/>
    <mergeCell ref="E22:E23"/>
    <mergeCell ref="F22:F23"/>
    <mergeCell ref="G22:H22"/>
    <mergeCell ref="F53:K53"/>
    <mergeCell ref="B55:B56"/>
    <mergeCell ref="C55:C56"/>
    <mergeCell ref="B51:B52"/>
    <mergeCell ref="C51:C52"/>
    <mergeCell ref="C53:C54"/>
    <mergeCell ref="D53:D54"/>
    <mergeCell ref="E53:E54"/>
  </mergeCells>
  <conditionalFormatting sqref="E10:M13">
    <cfRule type="cellIs" dxfId="1475" priority="73" operator="between">
      <formula>1</formula>
      <formula>10</formula>
    </cfRule>
    <cfRule type="cellIs" dxfId="1474" priority="64" operator="greaterThanOrEqual">
      <formula>10000</formula>
    </cfRule>
    <cfRule type="cellIs" dxfId="1473" priority="71" operator="lessThan">
      <formula>0.1</formula>
    </cfRule>
    <cfRule type="cellIs" dxfId="1472" priority="70" operator="equal">
      <formula>0</formula>
    </cfRule>
    <cfRule type="containsBlanks" dxfId="1471" priority="69" stopIfTrue="1">
      <formula>LEN(TRIM(E10))=0</formula>
    </cfRule>
    <cfRule type="cellIs" dxfId="1470" priority="68" operator="lessThanOrEqual">
      <formula>0.1</formula>
    </cfRule>
    <cfRule type="cellIs" dxfId="1469" priority="67" operator="between">
      <formula>0.1</formula>
      <formula>0.999</formula>
    </cfRule>
    <cfRule type="cellIs" dxfId="1468" priority="72" operator="between">
      <formula>0.1</formula>
      <formula>0.999</formula>
    </cfRule>
    <cfRule type="cellIs" dxfId="1467" priority="66" operator="between">
      <formula>1</formula>
      <formula>9.999</formula>
    </cfRule>
    <cfRule type="cellIs" dxfId="1466" priority="65" operator="greaterThanOrEqual">
      <formula>10</formula>
    </cfRule>
    <cfRule type="cellIs" dxfId="1465" priority="75" operator="greaterThan">
      <formula>10000</formula>
    </cfRule>
    <cfRule type="cellIs" dxfId="1464" priority="74" operator="greaterThan">
      <formula>10</formula>
    </cfRule>
  </conditionalFormatting>
  <conditionalFormatting sqref="F47:K48">
    <cfRule type="cellIs" dxfId="1463" priority="38" operator="greaterThanOrEqual">
      <formula>$E$47</formula>
    </cfRule>
    <cfRule type="cellIs" dxfId="1462" priority="39" operator="lessThan">
      <formula>$E$47</formula>
    </cfRule>
  </conditionalFormatting>
  <conditionalFormatting sqref="F47:K52">
    <cfRule type="cellIs" dxfId="1461" priority="16" operator="greaterThanOrEqual">
      <formula>10000</formula>
    </cfRule>
    <cfRule type="cellIs" dxfId="1460" priority="17" operator="greaterThanOrEqual">
      <formula>10</formula>
    </cfRule>
    <cfRule type="cellIs" dxfId="1459" priority="18" operator="between">
      <formula>1</formula>
      <formula>9.999</formula>
    </cfRule>
    <cfRule type="cellIs" dxfId="1458" priority="19" operator="between">
      <formula>0.1</formula>
      <formula>0.999</formula>
    </cfRule>
    <cfRule type="cellIs" dxfId="1457" priority="20" operator="lessThanOrEqual">
      <formula>0.1</formula>
    </cfRule>
    <cfRule type="containsBlanks" dxfId="1456" priority="21" stopIfTrue="1">
      <formula>LEN(TRIM(F47))=0</formula>
    </cfRule>
  </conditionalFormatting>
  <conditionalFormatting sqref="F49:K50">
    <cfRule type="cellIs" dxfId="1455" priority="30" operator="greaterThanOrEqual">
      <formula>$E$49</formula>
    </cfRule>
    <cfRule type="cellIs" dxfId="1454" priority="31" operator="lessThan">
      <formula>$E$49</formula>
    </cfRule>
  </conditionalFormatting>
  <conditionalFormatting sqref="F51:K52">
    <cfRule type="cellIs" dxfId="1453" priority="23" operator="lessThan">
      <formula>$E$51</formula>
    </cfRule>
    <cfRule type="cellIs" dxfId="1452" priority="22" operator="greaterThanOrEqual">
      <formula>$E$51</formula>
    </cfRule>
  </conditionalFormatting>
  <conditionalFormatting sqref="F55:K55">
    <cfRule type="containsBlanks" dxfId="1451" priority="12" stopIfTrue="1">
      <formula>LEN(TRIM(F55))=0</formula>
    </cfRule>
    <cfRule type="cellIs" dxfId="1450" priority="13" operator="greaterThanOrEqual">
      <formula>0.0001</formula>
    </cfRule>
  </conditionalFormatting>
  <conditionalFormatting sqref="F55:K56">
    <cfRule type="cellIs" dxfId="1449" priority="2" operator="between">
      <formula>0.1</formula>
      <formula>0.999</formula>
    </cfRule>
    <cfRule type="cellIs" dxfId="1448" priority="7" operator="greaterThanOrEqual">
      <formula>10000</formula>
    </cfRule>
    <cfRule type="cellIs" dxfId="1447" priority="8" operator="greaterThanOrEqual">
      <formula>10</formula>
    </cfRule>
    <cfRule type="cellIs" dxfId="1446" priority="1" operator="between">
      <formula>1</formula>
      <formula>9.999</formula>
    </cfRule>
  </conditionalFormatting>
  <conditionalFormatting sqref="F56:K56">
    <cfRule type="containsBlanks" dxfId="1445" priority="3" stopIfTrue="1">
      <formula>LEN(TRIM(F56))=0</formula>
    </cfRule>
    <cfRule type="cellIs" dxfId="1444" priority="4" operator="greaterThanOrEqual">
      <formula>0.0001</formula>
    </cfRule>
    <cfRule type="cellIs" dxfId="1443" priority="11" operator="lessThanOrEqual">
      <formula>0.1</formula>
    </cfRule>
  </conditionalFormatting>
  <conditionalFormatting sqref="G18:H19 G24:H25 G30:H31">
    <cfRule type="cellIs" dxfId="1442" priority="93" operator="greaterThanOrEqual">
      <formula>10</formula>
    </cfRule>
    <cfRule type="cellIs" dxfId="1441" priority="92" operator="greaterThanOrEqual">
      <formula>10000</formula>
    </cfRule>
    <cfRule type="cellIs" dxfId="1440" priority="98" operator="lessThan">
      <formula>$F18</formula>
    </cfRule>
    <cfRule type="containsBlanks" dxfId="1439" priority="97" stopIfTrue="1">
      <formula>LEN(TRIM(G18))=0</formula>
    </cfRule>
    <cfRule type="cellIs" dxfId="1438" priority="96" operator="lessThanOrEqual">
      <formula>0.1</formula>
    </cfRule>
    <cfRule type="cellIs" dxfId="1437" priority="95" operator="between">
      <formula>0.1</formula>
      <formula>0.999</formula>
    </cfRule>
    <cfRule type="cellIs" dxfId="1436" priority="94" operator="between">
      <formula>1</formula>
      <formula>9.999</formula>
    </cfRule>
  </conditionalFormatting>
  <conditionalFormatting sqref="G36:H37 S40:S41">
    <cfRule type="cellIs" dxfId="1435" priority="83" operator="greaterThan">
      <formula>0.0001</formula>
    </cfRule>
  </conditionalFormatting>
  <conditionalFormatting sqref="G36:H37">
    <cfRule type="cellIs" dxfId="1434" priority="79" operator="between">
      <formula>0.1</formula>
      <formula>0.999</formula>
    </cfRule>
    <cfRule type="cellIs" dxfId="1433" priority="80" operator="lessThanOrEqual">
      <formula>0.1</formula>
    </cfRule>
    <cfRule type="cellIs" dxfId="1432" priority="82" operator="equal">
      <formula>0</formula>
    </cfRule>
    <cfRule type="containsBlanks" dxfId="1431" priority="81" stopIfTrue="1">
      <formula>LEN(TRIM(G36))=0</formula>
    </cfRule>
    <cfRule type="cellIs" dxfId="1430" priority="76" operator="greaterThanOrEqual">
      <formula>10000</formula>
    </cfRule>
    <cfRule type="cellIs" dxfId="1429" priority="77" operator="greaterThanOrEqual">
      <formula>10</formula>
    </cfRule>
    <cfRule type="cellIs" dxfId="1428" priority="78" operator="between">
      <formula>1</formula>
      <formula>9.999</formula>
    </cfRule>
  </conditionalFormatting>
  <conditionalFormatting sqref="Q10:U17">
    <cfRule type="cellIs" dxfId="1427" priority="40" operator="greaterThanOrEqual">
      <formula>10000</formula>
    </cfRule>
    <cfRule type="cellIs" dxfId="1426" priority="51" operator="greaterThan">
      <formula>10000</formula>
    </cfRule>
    <cfRule type="cellIs" dxfId="1425" priority="50" operator="greaterThan">
      <formula>10</formula>
    </cfRule>
    <cfRule type="cellIs" dxfId="1424" priority="49" operator="between">
      <formula>1</formula>
      <formula>10</formula>
    </cfRule>
    <cfRule type="cellIs" dxfId="1423" priority="42" operator="between">
      <formula>1</formula>
      <formula>9.999</formula>
    </cfRule>
    <cfRule type="cellIs" dxfId="1422" priority="41" operator="greaterThanOrEqual">
      <formula>10</formula>
    </cfRule>
    <cfRule type="cellIs" dxfId="1421" priority="43" operator="between">
      <formula>0.1</formula>
      <formula>0.999</formula>
    </cfRule>
    <cfRule type="cellIs" dxfId="1420" priority="44" operator="lessThanOrEqual">
      <formula>0.1</formula>
    </cfRule>
    <cfRule type="containsBlanks" dxfId="1419" priority="45" stopIfTrue="1">
      <formula>LEN(TRIM(Q10))=0</formula>
    </cfRule>
    <cfRule type="cellIs" dxfId="1418" priority="46" operator="equal">
      <formula>0</formula>
    </cfRule>
    <cfRule type="cellIs" dxfId="1417" priority="47" operator="lessThan">
      <formula>0.1</formula>
    </cfRule>
    <cfRule type="cellIs" dxfId="1416" priority="48" operator="between">
      <formula>0.1</formula>
      <formula>0.999</formula>
    </cfRule>
  </conditionalFormatting>
  <conditionalFormatting sqref="S22:S23 S28:S29 S34:S35 S40:S41">
    <cfRule type="cellIs" dxfId="1415" priority="85" operator="greaterThanOrEqual">
      <formula>10000</formula>
    </cfRule>
    <cfRule type="cellIs" dxfId="1414" priority="86" operator="greaterThanOrEqual">
      <formula>10</formula>
    </cfRule>
    <cfRule type="cellIs" dxfId="1413" priority="87" operator="between">
      <formula>1</formula>
      <formula>9.999</formula>
    </cfRule>
    <cfRule type="cellIs" dxfId="1412" priority="88" operator="between">
      <formula>0.1</formula>
      <formula>0.999</formula>
    </cfRule>
    <cfRule type="cellIs" dxfId="1411" priority="89" operator="lessThanOrEqual">
      <formula>0.1</formula>
    </cfRule>
    <cfRule type="cellIs" dxfId="1410" priority="91" operator="lessThan">
      <formula>$R22</formula>
    </cfRule>
    <cfRule type="containsBlanks" dxfId="1409" priority="90" stopIfTrue="1">
      <formula>LEN(TRIM(S22))=0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8F44055-522A-403A-8152-41E115996AE5}">
          <x14:formula1>
            <xm:f>'List Values'!$B$4:$B$5</xm:f>
          </x14:formula1>
          <xm:sqref>C42:C43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6A9AF-071B-44D2-8043-743B13D86CEB}">
  <sheetPr codeName="Sheet9"/>
  <dimension ref="B1:V69"/>
  <sheetViews>
    <sheetView topLeftCell="D1" workbookViewId="0">
      <selection activeCell="T9" sqref="T9"/>
    </sheetView>
  </sheetViews>
  <sheetFormatPr defaultColWidth="8.7109375" defaultRowHeight="12.75" x14ac:dyDescent="0.2"/>
  <cols>
    <col min="1" max="1" width="8.7109375" style="66"/>
    <col min="2" max="2" width="7.5703125" style="66" customWidth="1"/>
    <col min="3" max="3" width="35.42578125" style="66" customWidth="1"/>
    <col min="4" max="4" width="9.85546875" style="66" customWidth="1"/>
    <col min="5" max="5" width="16.28515625" style="66" customWidth="1"/>
    <col min="6" max="6" width="13.140625" style="66" customWidth="1"/>
    <col min="7" max="8" width="15.85546875" style="66" customWidth="1"/>
    <col min="9" max="12" width="12.85546875" style="66" customWidth="1"/>
    <col min="13" max="13" width="12.42578125" style="66" customWidth="1"/>
    <col min="14" max="14" width="28.42578125" style="66" customWidth="1"/>
    <col min="15" max="18" width="14.85546875" style="66" customWidth="1"/>
    <col min="19" max="20" width="13.5703125" style="66" customWidth="1"/>
    <col min="21" max="16384" width="8.7109375" style="66"/>
  </cols>
  <sheetData>
    <row r="1" spans="2:22" ht="21" x14ac:dyDescent="0.35">
      <c r="C1" s="83" t="s">
        <v>1</v>
      </c>
    </row>
    <row r="2" spans="2:22" ht="21" x14ac:dyDescent="0.35">
      <c r="C2" s="83" t="s">
        <v>469</v>
      </c>
      <c r="M2" s="68"/>
      <c r="T2" s="67"/>
    </row>
    <row r="3" spans="2:22" ht="15.75" x14ac:dyDescent="0.25">
      <c r="C3" s="67"/>
      <c r="M3" s="68"/>
      <c r="T3" s="67"/>
    </row>
    <row r="4" spans="2:22" ht="21" x14ac:dyDescent="0.35">
      <c r="C4" s="84" t="s">
        <v>83</v>
      </c>
      <c r="D4" s="85"/>
      <c r="E4" s="85"/>
      <c r="F4" s="85"/>
      <c r="G4" s="85"/>
      <c r="H4" s="85"/>
      <c r="I4" s="85"/>
      <c r="J4" s="85"/>
      <c r="K4" s="85"/>
      <c r="L4" s="85"/>
      <c r="N4" s="84" t="s">
        <v>29</v>
      </c>
      <c r="T4" s="67"/>
    </row>
    <row r="5" spans="2:22" ht="21" x14ac:dyDescent="0.35">
      <c r="C5" s="85"/>
      <c r="D5" s="85"/>
      <c r="E5" s="85"/>
      <c r="F5" s="85"/>
      <c r="G5" s="85"/>
      <c r="H5" s="85"/>
      <c r="I5" s="85"/>
      <c r="J5" s="85"/>
      <c r="K5" s="85"/>
      <c r="L5" s="85"/>
      <c r="N5" s="83"/>
      <c r="T5" s="67"/>
    </row>
    <row r="6" spans="2:22" ht="21" x14ac:dyDescent="0.35">
      <c r="C6" s="83" t="s">
        <v>84</v>
      </c>
      <c r="D6" s="85"/>
      <c r="E6" s="85"/>
      <c r="F6" s="85"/>
      <c r="G6" s="85"/>
      <c r="H6" s="85"/>
      <c r="I6" s="85"/>
      <c r="J6" s="85"/>
      <c r="K6" s="85"/>
      <c r="L6" s="85"/>
      <c r="N6" s="83" t="s">
        <v>84</v>
      </c>
      <c r="T6" s="67"/>
    </row>
    <row r="7" spans="2:22" ht="15.75" x14ac:dyDescent="0.25">
      <c r="C7" s="67"/>
      <c r="M7" s="68"/>
      <c r="T7" s="67"/>
    </row>
    <row r="8" spans="2:22" ht="38.25" x14ac:dyDescent="0.25">
      <c r="C8" s="592" t="s">
        <v>85</v>
      </c>
      <c r="D8" s="593" t="s">
        <v>23</v>
      </c>
      <c r="E8" s="411" t="s">
        <v>86</v>
      </c>
      <c r="F8" s="411" t="s">
        <v>87</v>
      </c>
      <c r="G8" s="411" t="s">
        <v>88</v>
      </c>
      <c r="H8" s="411" t="s">
        <v>89</v>
      </c>
      <c r="I8" s="411" t="s">
        <v>90</v>
      </c>
      <c r="J8" s="291"/>
      <c r="K8" s="291"/>
      <c r="L8" s="291"/>
      <c r="M8" s="1"/>
      <c r="N8" s="592" t="s">
        <v>85</v>
      </c>
      <c r="O8" s="592" t="s">
        <v>23</v>
      </c>
      <c r="P8" s="411" t="s">
        <v>91</v>
      </c>
      <c r="Q8" s="411" t="s">
        <v>92</v>
      </c>
      <c r="R8" s="411" t="s">
        <v>93</v>
      </c>
      <c r="S8" s="411" t="s">
        <v>94</v>
      </c>
      <c r="T8" s="411" t="s">
        <v>95</v>
      </c>
      <c r="V8" s="67"/>
    </row>
    <row r="9" spans="2:22" ht="27" x14ac:dyDescent="0.25">
      <c r="C9" s="592"/>
      <c r="D9" s="593"/>
      <c r="E9" s="413" t="s">
        <v>482</v>
      </c>
      <c r="F9" s="413" t="s">
        <v>483</v>
      </c>
      <c r="G9" s="413" t="s">
        <v>484</v>
      </c>
      <c r="H9" s="413" t="s">
        <v>484</v>
      </c>
      <c r="I9" s="413" t="s">
        <v>485</v>
      </c>
      <c r="J9" s="291"/>
      <c r="K9" s="291"/>
      <c r="L9" s="291"/>
      <c r="M9" s="1"/>
      <c r="N9" s="592"/>
      <c r="O9" s="592"/>
      <c r="P9" s="411" t="s">
        <v>100</v>
      </c>
      <c r="Q9" s="413" t="s">
        <v>486</v>
      </c>
      <c r="R9" s="413" t="s">
        <v>505</v>
      </c>
      <c r="S9" s="413" t="s">
        <v>487</v>
      </c>
      <c r="T9" s="413" t="s">
        <v>506</v>
      </c>
      <c r="V9" s="67"/>
    </row>
    <row r="10" spans="2:22" ht="15.75" x14ac:dyDescent="0.25">
      <c r="C10" s="88" t="s">
        <v>30</v>
      </c>
      <c r="D10" s="594" t="s">
        <v>103</v>
      </c>
      <c r="E10" s="69">
        <f>INDEX('Inhalation Exposures'!$I$37:$I$44, MATCH('1,1-DCA_test order_max_MT'!$C$2, 'Inhalation Exposures'!$A$37:$A$44, 0))</f>
        <v>2.7000000000000001E-3</v>
      </c>
      <c r="F10" s="69">
        <f>INDEX('Inhalation Exposures'!$K$37:$K$44, MATCH('1,1-DCA_test order_max_MT'!$C$2, 'Inhalation Exposures'!$A$37:$A$44, 0))</f>
        <v>1.8367346938775511E-3</v>
      </c>
      <c r="G10" s="69">
        <f>INDEX('Inhalation Exposures'!$M$37:$M$44, MATCH('1,1-DCA_test order_max_MT'!$C$2, 'Inhalation Exposures'!$A$37:$A$44, 0))</f>
        <v>1.346938775510204E-3</v>
      </c>
      <c r="H10" s="69">
        <f>INDEX('Inhalation Exposures'!$O$37:$O$44, MATCH('1,1-DCA_test order_max_MT'!$C$2, 'Inhalation Exposures'!$A$37:$A$44, 0))</f>
        <v>1.2580374615599665E-3</v>
      </c>
      <c r="I10" s="69">
        <f>INDEX('Inhalation Exposures'!$Q$37:$Q$44, MATCH('1,1-DCA_test order_max_MT'!$C$2, 'Inhalation Exposures'!$A$37:$A$44, 0))</f>
        <v>6.4514741618459817E-4</v>
      </c>
      <c r="J10" s="89"/>
      <c r="K10" s="89"/>
      <c r="L10" s="89"/>
      <c r="M10" s="1"/>
      <c r="N10" s="595" t="s">
        <v>104</v>
      </c>
      <c r="O10" s="412" t="s">
        <v>103</v>
      </c>
      <c r="P10" s="316">
        <f>IFERROR(INDEX('Dermal Exposures'!$J$19:$J$27, MATCH('1,1-DCA_test order_max_MT'!$C$2, 'Dermal Exposures'!$A$19:$A$27, 0)), "")</f>
        <v>2.0223</v>
      </c>
      <c r="Q10" s="316">
        <f>IFERROR(INDEX('Dermal Exposures'!$K$19:$K$27, MATCH('1,1-DCA_test order_max_MT'!$C$2, 'Dermal Exposures'!$A$19:$A$27, 0)), "")</f>
        <v>2.5278749999999999E-2</v>
      </c>
      <c r="R10" s="316">
        <f>IFERROR(INDEX('Dermal Exposures'!$L$19:$L$27, MATCH('1,1-DCA_test order_max_MT'!$C$2, 'Dermal Exposures'!$A$19:$A$27, 0)), "")</f>
        <v>1.8537750000000002E-2</v>
      </c>
      <c r="S10" s="316">
        <f>IFERROR(INDEX('Dermal Exposures'!$M$19:$M$27, MATCH('1,1-DCA_test order_max_MT'!$C$2, 'Dermal Exposures'!$A$19:$A$27, 0)), "")</f>
        <v>1.7314212328767124E-2</v>
      </c>
      <c r="T10" s="316">
        <f>IFERROR(INDEX('Dermal Exposures'!$N$19:$N$27, MATCH('1,1-DCA_test order_max_MT'!$C$2, 'Dermal Exposures'!$A$19:$A$27, 0)), "")</f>
        <v>8.8790832455216007E-3</v>
      </c>
      <c r="V10" s="67"/>
    </row>
    <row r="11" spans="2:22" ht="15.75" x14ac:dyDescent="0.25">
      <c r="C11" s="88" t="s">
        <v>28</v>
      </c>
      <c r="D11" s="594"/>
      <c r="E11" s="69">
        <f>INDEX('Inhalation Exposures'!$I$50:$I$58, MATCH('1,1-DCA_test order_max_MT'!$C$2, 'Inhalation Exposures'!$A$50:$A$58, 0))</f>
        <v>4.5661979166666672E-3</v>
      </c>
      <c r="F11" s="69">
        <f>INDEX('Inhalation Exposures'!$K$50:$K$58, MATCH('1,1-DCA_test order_max_MT'!$C$2, 'Inhalation Exposures'!$A$50:$A$58, 0))</f>
        <v>3.106257086167801E-3</v>
      </c>
      <c r="G11" s="69">
        <f>INDEX('Inhalation Exposures'!$M$50:$M$58, MATCH('1,1-DCA_test order_max_MT'!$C$2, 'Inhalation Exposures'!$A$50:$A$58, 0))</f>
        <v>2.2779218631897207E-3</v>
      </c>
      <c r="H11" s="69">
        <f>INDEX('Inhalation Exposures'!$O$50:$O$58, MATCH('1,1-DCA_test order_max_MT'!$C$2, 'Inhalation Exposures'!$A$50:$A$58, 0))</f>
        <v>2.1275733466902744E-3</v>
      </c>
      <c r="I11" s="69">
        <f>INDEX('Inhalation Exposures'!$Q$50:$Q$58, MATCH('1,1-DCA_test order_max_MT'!$C$2, 'Inhalation Exposures'!$A$50:$A$58, 0))</f>
        <v>1.0910632547129612E-3</v>
      </c>
      <c r="J11" s="89"/>
      <c r="K11" s="89"/>
      <c r="L11" s="89"/>
      <c r="M11" s="1"/>
      <c r="N11" s="595"/>
      <c r="O11" s="412" t="s">
        <v>27</v>
      </c>
      <c r="P11" s="316">
        <f>IFERROR(INDEX('Dermal Exposures'!$O$19:$O$27, MATCH('1,1-DCA_test order_max_MT'!$C$2, 'Dermal Exposures'!$A$19:$A$27, 0)), "")</f>
        <v>0.67410000000000003</v>
      </c>
      <c r="Q11" s="316">
        <f>IFERROR(INDEX('Dermal Exposures'!$P$19:$P$27, MATCH('1,1-DCA_test order_max_MT'!$C$2, 'Dermal Exposures'!$A$19:$A$27, 0)), "")</f>
        <v>8.4262499999999997E-3</v>
      </c>
      <c r="R11" s="316">
        <f>IFERROR(INDEX('Dermal Exposures'!$Q$19:$Q$27, MATCH('1,1-DCA_test order_max_MT'!$C$2, 'Dermal Exposures'!$A$19:$A$27, 0)), "")</f>
        <v>6.1792499999999998E-3</v>
      </c>
      <c r="S11" s="316">
        <f>IFERROR(INDEX('Dermal Exposures'!$R$19:$R$27, MATCH('1,1-DCA_test order_max_MT'!$C$2, 'Dermal Exposures'!$A$19:$A$27, 0)), "")</f>
        <v>5.7714041095890409E-3</v>
      </c>
      <c r="T11" s="316">
        <f>IFERROR(INDEX('Dermal Exposures'!$S$19:$S$27, MATCH('1,1-DCA_test order_max_MT'!$C$2, 'Dermal Exposures'!$A$19:$A$27, 0)), "")</f>
        <v>2.2937631717597469E-3</v>
      </c>
      <c r="V11" s="67"/>
    </row>
    <row r="12" spans="2:22" ht="15.75" x14ac:dyDescent="0.25">
      <c r="C12" s="88" t="s">
        <v>30</v>
      </c>
      <c r="D12" s="591" t="s">
        <v>27</v>
      </c>
      <c r="E12" s="69">
        <f>INDEX('Inhalation Exposures'!$J$37:$J$44, MATCH('1,1-DCA_test order_max_MT'!$C$2, 'Inhalation Exposures'!$A$37:$A$44, 0))</f>
        <v>2.3000000000000001E-4</v>
      </c>
      <c r="F12" s="69">
        <f>INDEX('Inhalation Exposures'!$L$37:$L$44, MATCH('1,1-DCA_test order_max_MT'!$C$2, 'Inhalation Exposures'!$A$37:$A$44, 0))</f>
        <v>1.5646258503401362E-4</v>
      </c>
      <c r="G12" s="69">
        <f>INDEX('Inhalation Exposures'!$N$37:$N$44, MATCH('1,1-DCA_test order_max_MT'!$C$2, 'Inhalation Exposures'!$A$37:$A$44, 0))</f>
        <v>1.1473922902494331E-4</v>
      </c>
      <c r="H12" s="69">
        <f>INDEX('Inhalation Exposures'!$P$37:$P$44, MATCH('1,1-DCA_test order_max_MT'!$C$2, 'Inhalation Exposures'!$A$37:$A$44, 0))</f>
        <v>1.0716615413288603E-4</v>
      </c>
      <c r="I12" s="69">
        <f>INDEX('Inhalation Exposures'!$R$37:$R$44, MATCH('1,1-DCA_test order_max_MT'!$C$2, 'Inhalation Exposures'!$A$37:$A$44, 0))</f>
        <v>4.2591676642557271E-5</v>
      </c>
      <c r="J12" s="89"/>
      <c r="K12" s="89"/>
      <c r="L12" s="89"/>
      <c r="M12" s="1"/>
      <c r="N12" s="565" t="str">
        <f>_xlfn.CONCAT("Worker with Gloves; 
PF of ",'List Values'!$B$16)</f>
        <v>Worker with Gloves; 
PF of 5</v>
      </c>
      <c r="O12" s="71" t="s">
        <v>103</v>
      </c>
      <c r="P12" s="316">
        <f>P10/'List Values'!$B$16</f>
        <v>0.40445999999999999</v>
      </c>
      <c r="Q12" s="316">
        <f>Q10/'List Values'!$B$16</f>
        <v>5.0557499999999995E-3</v>
      </c>
      <c r="R12" s="316">
        <f>R10/'List Values'!$B$16</f>
        <v>3.7075500000000004E-3</v>
      </c>
      <c r="S12" s="316">
        <f>S10/'List Values'!$B$16</f>
        <v>3.4628424657534248E-3</v>
      </c>
      <c r="T12" s="316">
        <f>T10/'List Values'!$B$16</f>
        <v>1.7758166491043201E-3</v>
      </c>
      <c r="U12" s="67"/>
    </row>
    <row r="13" spans="2:22" ht="15.75" x14ac:dyDescent="0.25">
      <c r="C13" s="88" t="s">
        <v>28</v>
      </c>
      <c r="D13" s="591"/>
      <c r="E13" s="69">
        <f>INDEX('Inhalation Exposures'!$J$50:$J$58, MATCH('1,1-DCA_test order_max_MT'!$C$2, 'Inhalation Exposures'!$A$50:$A$58, 0))</f>
        <v>6.9401041666666667E-5</v>
      </c>
      <c r="F13" s="69">
        <f>INDEX('Inhalation Exposures'!$L$50:$L$58, MATCH('1,1-DCA_test order_max_MT'!$C$2, 'Inhalation Exposures'!$A$50:$A$58, 0))</f>
        <v>4.721159297052154E-5</v>
      </c>
      <c r="G13" s="69">
        <f>INDEX('Inhalation Exposures'!$N$50:$N$58, MATCH('1,1-DCA_test order_max_MT'!$C$2, 'Inhalation Exposures'!$A$50:$A$58, 0))</f>
        <v>3.4621834845049136E-5</v>
      </c>
      <c r="H13" s="69">
        <f>INDEX('Inhalation Exposures'!$P$50:$P$58, MATCH('1,1-DCA_test order_max_MT'!$C$2, 'Inhalation Exposures'!$A$50:$A$58, 0))</f>
        <v>3.233670751405585E-5</v>
      </c>
      <c r="I13" s="69">
        <f>INDEX('Inhalation Exposures'!$R$50:$R$58, MATCH('1,1-DCA_test order_max_MT'!$C$2, 'Inhalation Exposures'!$A$50:$A$58, 0))</f>
        <v>1.2851768370970914E-5</v>
      </c>
      <c r="J13" s="89"/>
      <c r="K13" s="89"/>
      <c r="L13" s="89"/>
      <c r="M13" s="1"/>
      <c r="N13" s="565"/>
      <c r="O13" s="71" t="s">
        <v>27</v>
      </c>
      <c r="P13" s="316">
        <f>P11/'List Values'!$B$16</f>
        <v>0.13482</v>
      </c>
      <c r="Q13" s="316">
        <f>Q11/'List Values'!$B$16</f>
        <v>1.6852499999999999E-3</v>
      </c>
      <c r="R13" s="316">
        <f>R11/'List Values'!$B$16</f>
        <v>1.2358499999999999E-3</v>
      </c>
      <c r="S13" s="316">
        <f>S11/'List Values'!$B$16</f>
        <v>1.1542808219178083E-3</v>
      </c>
      <c r="T13" s="316">
        <f>T11/'List Values'!$B$16</f>
        <v>4.5875263435194937E-4</v>
      </c>
      <c r="U13" s="67"/>
    </row>
    <row r="14" spans="2:22" x14ac:dyDescent="0.2">
      <c r="N14" s="565" t="str">
        <f>_xlfn.CONCAT("Worker with Gloves; 
PF of ",'List Values'!$B$17)</f>
        <v>Worker with Gloves; 
PF of 10</v>
      </c>
      <c r="O14" s="71" t="s">
        <v>103</v>
      </c>
      <c r="P14" s="316">
        <f>P10/'List Values'!$B$17</f>
        <v>0.20222999999999999</v>
      </c>
      <c r="Q14" s="316">
        <f>Q10/'List Values'!$B$17</f>
        <v>2.5278749999999997E-3</v>
      </c>
      <c r="R14" s="316">
        <f>R10/'List Values'!$B$17</f>
        <v>1.8537750000000002E-3</v>
      </c>
      <c r="S14" s="316">
        <f>S10/'List Values'!$B$17</f>
        <v>1.7314212328767124E-3</v>
      </c>
      <c r="T14" s="316">
        <f>T10/'List Values'!$B$17</f>
        <v>8.8790832455216007E-4</v>
      </c>
    </row>
    <row r="15" spans="2:22" ht="21" x14ac:dyDescent="0.35">
      <c r="C15" s="83" t="s">
        <v>105</v>
      </c>
      <c r="N15" s="565"/>
      <c r="O15" s="71" t="s">
        <v>27</v>
      </c>
      <c r="P15" s="316">
        <f>P11/'List Values'!$B$17</f>
        <v>6.7409999999999998E-2</v>
      </c>
      <c r="Q15" s="316">
        <f>Q11/'List Values'!$B$17</f>
        <v>8.4262499999999995E-4</v>
      </c>
      <c r="R15" s="316">
        <f>R11/'List Values'!$B$17</f>
        <v>6.1792499999999996E-4</v>
      </c>
      <c r="S15" s="316">
        <f>S11/'List Values'!$B$17</f>
        <v>5.7714041095890413E-4</v>
      </c>
      <c r="T15" s="316">
        <f>T11/'List Values'!$B$17</f>
        <v>2.2937631717597469E-4</v>
      </c>
    </row>
    <row r="16" spans="2:22" ht="28.5" customHeight="1" x14ac:dyDescent="0.2">
      <c r="B16" s="70"/>
      <c r="C16" s="568" t="s">
        <v>106</v>
      </c>
      <c r="D16" s="568" t="s">
        <v>107</v>
      </c>
      <c r="E16" s="568" t="s">
        <v>23</v>
      </c>
      <c r="F16" s="568" t="s">
        <v>108</v>
      </c>
      <c r="G16" s="568" t="s">
        <v>109</v>
      </c>
      <c r="H16" s="568"/>
      <c r="I16" s="90"/>
      <c r="J16" s="90"/>
      <c r="K16" s="90"/>
      <c r="L16" s="90"/>
      <c r="N16" s="565" t="str">
        <f>_xlfn.CONCAT("Worker with Gloves; 
PF of ",'List Values'!$B$18)</f>
        <v>Worker with Gloves; 
PF of 20</v>
      </c>
      <c r="O16" s="71" t="s">
        <v>103</v>
      </c>
      <c r="P16" s="316">
        <f>P10/'List Values'!$B$18</f>
        <v>0.101115</v>
      </c>
      <c r="Q16" s="316">
        <f>Q10/'List Values'!$B$18</f>
        <v>1.2639374999999999E-3</v>
      </c>
      <c r="R16" s="316">
        <f>R10/'List Values'!$B$18</f>
        <v>9.2688750000000011E-4</v>
      </c>
      <c r="S16" s="316">
        <f>S10/'List Values'!$B$18</f>
        <v>8.657106164383562E-4</v>
      </c>
      <c r="T16" s="316">
        <f>T10/'List Values'!$B$18</f>
        <v>4.4395416227608004E-4</v>
      </c>
    </row>
    <row r="17" spans="2:20" ht="26.1" customHeight="1" x14ac:dyDescent="0.2">
      <c r="B17" s="70"/>
      <c r="C17" s="568"/>
      <c r="D17" s="568"/>
      <c r="E17" s="568"/>
      <c r="F17" s="568"/>
      <c r="G17" s="413" t="s">
        <v>110</v>
      </c>
      <c r="H17" s="413" t="s">
        <v>111</v>
      </c>
      <c r="I17" s="90"/>
      <c r="J17" s="90"/>
      <c r="K17" s="90"/>
      <c r="L17" s="90"/>
      <c r="N17" s="565"/>
      <c r="O17" s="71" t="s">
        <v>27</v>
      </c>
      <c r="P17" s="316">
        <f>P11/'List Values'!$B$18</f>
        <v>3.3704999999999999E-2</v>
      </c>
      <c r="Q17" s="316">
        <f>Q11/'List Values'!$B$18</f>
        <v>4.2131249999999997E-4</v>
      </c>
      <c r="R17" s="316">
        <f>R11/'List Values'!$B$18</f>
        <v>3.0896249999999998E-4</v>
      </c>
      <c r="S17" s="316">
        <f>S11/'List Values'!$B$18</f>
        <v>2.8857020547945207E-4</v>
      </c>
      <c r="T17" s="316">
        <f>T11/'List Values'!$B$18</f>
        <v>1.1468815858798734E-4</v>
      </c>
    </row>
    <row r="18" spans="2:20" ht="27.6" customHeight="1" x14ac:dyDescent="0.2">
      <c r="B18" s="70"/>
      <c r="C18" s="587" t="s">
        <v>112</v>
      </c>
      <c r="D18" s="580">
        <f>INDEX('Health Data'!$G:$G,MATCH($C$2,'Health Data'!$B:$B,0))</f>
        <v>2.4163399353274051</v>
      </c>
      <c r="E18" s="71" t="s">
        <v>103</v>
      </c>
      <c r="F18" s="412">
        <v>30</v>
      </c>
      <c r="G18" s="101">
        <f>D18/$F$10</f>
        <v>1315.5628536782538</v>
      </c>
      <c r="H18" s="102">
        <f>D18/$F$11</f>
        <v>777.89438166190268</v>
      </c>
      <c r="I18" s="77"/>
      <c r="J18" s="77"/>
      <c r="K18" s="77"/>
      <c r="L18" s="77"/>
    </row>
    <row r="19" spans="2:20" ht="25.5" customHeight="1" x14ac:dyDescent="0.35">
      <c r="B19" s="70"/>
      <c r="C19" s="588"/>
      <c r="D19" s="555"/>
      <c r="E19" s="71" t="s">
        <v>27</v>
      </c>
      <c r="F19" s="412">
        <v>30</v>
      </c>
      <c r="G19" s="101">
        <f>D18/$F$12</f>
        <v>15443.563934483849</v>
      </c>
      <c r="H19" s="102">
        <f>D18/$F$13</f>
        <v>51181.071920961112</v>
      </c>
      <c r="I19" s="77"/>
      <c r="J19" s="77"/>
      <c r="K19" s="77"/>
      <c r="L19" s="77"/>
      <c r="N19" s="83" t="s">
        <v>113</v>
      </c>
    </row>
    <row r="20" spans="2:20" ht="25.5" x14ac:dyDescent="0.2">
      <c r="B20" s="73"/>
      <c r="C20" s="74"/>
      <c r="D20" s="96"/>
      <c r="E20" s="76"/>
      <c r="F20" s="75"/>
      <c r="G20" s="77"/>
      <c r="H20" s="77"/>
      <c r="I20" s="77"/>
      <c r="J20" s="77"/>
      <c r="K20" s="77"/>
      <c r="L20" s="77"/>
      <c r="N20" s="570" t="s">
        <v>106</v>
      </c>
      <c r="O20" s="570" t="s">
        <v>114</v>
      </c>
      <c r="P20" s="570" t="s">
        <v>23</v>
      </c>
      <c r="Q20" s="570" t="s">
        <v>108</v>
      </c>
      <c r="R20" s="411" t="s">
        <v>109</v>
      </c>
    </row>
    <row r="21" spans="2:20" ht="25.5" customHeight="1" x14ac:dyDescent="0.2">
      <c r="B21" s="73"/>
      <c r="C21" s="98" t="s">
        <v>115</v>
      </c>
      <c r="D21" s="96"/>
      <c r="E21" s="76"/>
      <c r="F21" s="75"/>
      <c r="G21" s="77"/>
      <c r="H21" s="77"/>
      <c r="I21" s="77"/>
      <c r="J21" s="77"/>
      <c r="K21" s="77"/>
      <c r="L21" s="77"/>
      <c r="N21" s="571"/>
      <c r="O21" s="571"/>
      <c r="P21" s="571"/>
      <c r="Q21" s="571"/>
      <c r="R21" s="422" t="s">
        <v>116</v>
      </c>
    </row>
    <row r="22" spans="2:20" ht="25.5" customHeight="1" x14ac:dyDescent="0.2">
      <c r="B22" s="73"/>
      <c r="C22" s="568" t="s">
        <v>106</v>
      </c>
      <c r="D22" s="568" t="s">
        <v>107</v>
      </c>
      <c r="E22" s="569" t="s">
        <v>23</v>
      </c>
      <c r="F22" s="568" t="s">
        <v>108</v>
      </c>
      <c r="G22" s="568" t="s">
        <v>117</v>
      </c>
      <c r="H22" s="568"/>
      <c r="I22" s="77"/>
      <c r="J22" s="77"/>
      <c r="K22" s="77"/>
      <c r="L22" s="77"/>
      <c r="N22" s="587" t="s">
        <v>118</v>
      </c>
      <c r="O22" s="589">
        <f>INDEX('Health Data'!$K:$K,MATCH($C$2,'Health Data'!$B:$B,0))</f>
        <v>19.899999999999999</v>
      </c>
      <c r="P22" s="72" t="s">
        <v>103</v>
      </c>
      <c r="Q22" s="412">
        <v>30</v>
      </c>
      <c r="R22" s="101">
        <f>IFERROR(O22/Q10, "")</f>
        <v>787.22246946546011</v>
      </c>
    </row>
    <row r="23" spans="2:20" ht="25.5" customHeight="1" x14ac:dyDescent="0.2">
      <c r="B23" s="73"/>
      <c r="C23" s="582"/>
      <c r="D23" s="582"/>
      <c r="E23" s="586"/>
      <c r="F23" s="582"/>
      <c r="G23" s="415" t="s">
        <v>110</v>
      </c>
      <c r="H23" s="415" t="s">
        <v>111</v>
      </c>
      <c r="I23" s="77"/>
      <c r="J23" s="77"/>
      <c r="K23" s="77"/>
      <c r="L23" s="77"/>
      <c r="N23" s="588"/>
      <c r="O23" s="590"/>
      <c r="P23" s="72" t="s">
        <v>27</v>
      </c>
      <c r="Q23" s="412">
        <v>30</v>
      </c>
      <c r="R23" s="101">
        <f>IFERROR(O22/Q11, "")</f>
        <v>2361.6674083963803</v>
      </c>
    </row>
    <row r="24" spans="2:20" ht="25.5" customHeight="1" x14ac:dyDescent="0.2">
      <c r="B24" s="73"/>
      <c r="C24" s="577" t="s">
        <v>149</v>
      </c>
      <c r="D24" s="578">
        <v>22</v>
      </c>
      <c r="E24" s="71" t="s">
        <v>103</v>
      </c>
      <c r="F24" s="412">
        <v>30</v>
      </c>
      <c r="G24" s="419">
        <f>D24/$G$10</f>
        <v>16333.333333333334</v>
      </c>
      <c r="H24" s="419">
        <f>D24/$G$11</f>
        <v>9657.925653865017</v>
      </c>
      <c r="I24" s="77"/>
      <c r="J24" s="77"/>
      <c r="K24" s="77"/>
      <c r="L24" s="77"/>
      <c r="N24" s="74"/>
      <c r="O24" s="75"/>
      <c r="P24" s="81"/>
      <c r="Q24" s="75"/>
      <c r="R24" s="77"/>
    </row>
    <row r="25" spans="2:20" ht="25.5" customHeight="1" thickBot="1" x14ac:dyDescent="0.25">
      <c r="B25" s="73"/>
      <c r="C25" s="577"/>
      <c r="D25" s="559"/>
      <c r="E25" s="71" t="s">
        <v>27</v>
      </c>
      <c r="F25" s="412">
        <v>30</v>
      </c>
      <c r="G25" s="419">
        <f>D24/$G$12</f>
        <v>191739.13043478259</v>
      </c>
      <c r="H25" s="419">
        <f>D24/$G$13</f>
        <v>635437.14821763593</v>
      </c>
      <c r="I25" s="77"/>
      <c r="J25" s="77"/>
      <c r="K25" s="77"/>
      <c r="L25" s="77"/>
      <c r="N25" s="97" t="s">
        <v>120</v>
      </c>
      <c r="O25" s="75"/>
      <c r="P25" s="81"/>
      <c r="Q25" s="75"/>
      <c r="R25" s="77"/>
    </row>
    <row r="26" spans="2:20" ht="38.25" x14ac:dyDescent="0.2">
      <c r="B26" s="73"/>
      <c r="C26" s="74"/>
      <c r="D26" s="96"/>
      <c r="E26" s="76"/>
      <c r="F26" s="75"/>
      <c r="G26" s="77"/>
      <c r="H26" s="77"/>
      <c r="I26" s="77"/>
      <c r="J26" s="77"/>
      <c r="K26" s="77"/>
      <c r="L26" s="77"/>
      <c r="N26" s="568" t="s">
        <v>106</v>
      </c>
      <c r="O26" s="568" t="s">
        <v>121</v>
      </c>
      <c r="P26" s="569" t="s">
        <v>23</v>
      </c>
      <c r="Q26" s="568" t="s">
        <v>108</v>
      </c>
      <c r="R26" s="413" t="s">
        <v>117</v>
      </c>
    </row>
    <row r="27" spans="2:20" s="85" customFormat="1" ht="25.5" x14ac:dyDescent="0.35">
      <c r="B27" s="83"/>
      <c r="C27" s="83" t="s">
        <v>122</v>
      </c>
      <c r="F27" s="86"/>
      <c r="N27" s="568"/>
      <c r="O27" s="568"/>
      <c r="P27" s="569"/>
      <c r="Q27" s="568"/>
      <c r="R27" s="413" t="s">
        <v>116</v>
      </c>
      <c r="S27" s="66"/>
      <c r="T27" s="66"/>
    </row>
    <row r="28" spans="2:20" ht="26.1" customHeight="1" x14ac:dyDescent="0.2">
      <c r="B28" s="79"/>
      <c r="C28" s="568" t="s">
        <v>106</v>
      </c>
      <c r="D28" s="568" t="s">
        <v>107</v>
      </c>
      <c r="E28" s="568" t="s">
        <v>23</v>
      </c>
      <c r="F28" s="568" t="s">
        <v>108</v>
      </c>
      <c r="G28" s="568" t="s">
        <v>123</v>
      </c>
      <c r="H28" s="568"/>
      <c r="I28" s="90"/>
      <c r="J28" s="90"/>
      <c r="K28" s="90"/>
      <c r="L28" s="90"/>
      <c r="N28" s="579" t="s">
        <v>124</v>
      </c>
      <c r="O28" s="580">
        <f>INDEX('Health Data'!$T:$T,MATCH($C$2,'Health Data'!$B:$B,0))</f>
        <v>6.5</v>
      </c>
      <c r="P28" s="72" t="s">
        <v>103</v>
      </c>
      <c r="Q28" s="412">
        <v>30</v>
      </c>
      <c r="R28" s="107">
        <f>IFERROR(O28/$R$10, "")</f>
        <v>350.6358646545562</v>
      </c>
    </row>
    <row r="29" spans="2:20" x14ac:dyDescent="0.2">
      <c r="B29" s="79"/>
      <c r="C29" s="568"/>
      <c r="D29" s="568"/>
      <c r="E29" s="568"/>
      <c r="F29" s="568"/>
      <c r="G29" s="413" t="s">
        <v>110</v>
      </c>
      <c r="H29" s="413" t="s">
        <v>111</v>
      </c>
      <c r="I29" s="90"/>
      <c r="J29" s="90"/>
      <c r="K29" s="90"/>
      <c r="L29" s="90"/>
      <c r="N29" s="579"/>
      <c r="O29" s="555"/>
      <c r="P29" s="72" t="s">
        <v>27</v>
      </c>
      <c r="Q29" s="412">
        <v>30</v>
      </c>
      <c r="R29" s="107">
        <f>IFERROR(O28/$R$11, "")</f>
        <v>1051.9075939636687</v>
      </c>
    </row>
    <row r="30" spans="2:20" ht="33" customHeight="1" x14ac:dyDescent="0.2">
      <c r="B30" s="79"/>
      <c r="C30" s="577" t="s">
        <v>149</v>
      </c>
      <c r="D30" s="578">
        <f>INDEX('Health Data'!$P:$P,MATCH($C$2,'Health Data'!$B:$B,0))</f>
        <v>5.2378738884397729</v>
      </c>
      <c r="E30" s="72" t="s">
        <v>103</v>
      </c>
      <c r="F30" s="412">
        <v>300</v>
      </c>
      <c r="G30" s="419">
        <f>D30/$H$10</f>
        <v>4163.5277553220149</v>
      </c>
      <c r="H30" s="419">
        <f>D30/$H$11</f>
        <v>2461.9005011451136</v>
      </c>
      <c r="I30" s="77"/>
      <c r="J30" s="77"/>
      <c r="K30" s="77"/>
      <c r="L30" s="77"/>
      <c r="N30" s="74"/>
      <c r="O30" s="75"/>
      <c r="P30" s="81"/>
      <c r="Q30" s="75"/>
      <c r="R30" s="77"/>
    </row>
    <row r="31" spans="2:20" ht="33" customHeight="1" x14ac:dyDescent="0.35">
      <c r="B31" s="79"/>
      <c r="C31" s="577"/>
      <c r="D31" s="559"/>
      <c r="E31" s="72" t="s">
        <v>27</v>
      </c>
      <c r="F31" s="412">
        <v>300</v>
      </c>
      <c r="G31" s="419">
        <f>D30/$H$12</f>
        <v>48876.195388562788</v>
      </c>
      <c r="H31" s="419">
        <f>D30/$H$13</f>
        <v>161979.19612449777</v>
      </c>
      <c r="I31" s="77"/>
      <c r="J31" s="77"/>
      <c r="K31" s="77"/>
      <c r="L31" s="77"/>
      <c r="N31" s="83" t="s">
        <v>125</v>
      </c>
      <c r="O31" s="85"/>
      <c r="P31" s="85"/>
      <c r="Q31" s="85"/>
      <c r="R31" s="85"/>
      <c r="S31" s="85"/>
      <c r="T31" s="85"/>
    </row>
    <row r="32" spans="2:20" ht="25.5" x14ac:dyDescent="0.2">
      <c r="B32" s="79"/>
      <c r="C32" s="80"/>
      <c r="D32" s="75"/>
      <c r="E32" s="81"/>
      <c r="F32" s="75"/>
      <c r="G32" s="77"/>
      <c r="H32" s="77"/>
      <c r="I32" s="77"/>
      <c r="J32" s="77"/>
      <c r="K32" s="77"/>
      <c r="L32" s="77"/>
      <c r="N32" s="566" t="s">
        <v>106</v>
      </c>
      <c r="O32" s="566" t="s">
        <v>121</v>
      </c>
      <c r="P32" s="566" t="s">
        <v>23</v>
      </c>
      <c r="Q32" s="566" t="s">
        <v>108</v>
      </c>
      <c r="R32" s="411" t="s">
        <v>123</v>
      </c>
    </row>
    <row r="33" spans="2:20" ht="33" customHeight="1" x14ac:dyDescent="0.35">
      <c r="B33" s="79"/>
      <c r="C33" s="83" t="s">
        <v>126</v>
      </c>
      <c r="D33" s="85"/>
      <c r="E33" s="85"/>
      <c r="F33" s="85"/>
      <c r="G33" s="85"/>
      <c r="H33" s="85"/>
      <c r="I33" s="77"/>
      <c r="J33" s="77"/>
      <c r="K33" s="77"/>
      <c r="L33" s="77"/>
      <c r="N33" s="581"/>
      <c r="O33" s="567"/>
      <c r="P33" s="567"/>
      <c r="Q33" s="567"/>
      <c r="R33" s="411" t="s">
        <v>116</v>
      </c>
    </row>
    <row r="34" spans="2:20" ht="33" customHeight="1" x14ac:dyDescent="0.2">
      <c r="B34" s="79"/>
      <c r="C34" s="582" t="s">
        <v>127</v>
      </c>
      <c r="D34" s="566" t="s">
        <v>128</v>
      </c>
      <c r="E34" s="566" t="s">
        <v>23</v>
      </c>
      <c r="F34" s="583" t="s">
        <v>129</v>
      </c>
      <c r="G34" s="568" t="s">
        <v>130</v>
      </c>
      <c r="H34" s="568"/>
      <c r="I34" s="77"/>
      <c r="J34" s="77"/>
      <c r="K34" s="77"/>
      <c r="L34" s="77"/>
      <c r="N34" s="579" t="s">
        <v>124</v>
      </c>
      <c r="O34" s="580">
        <f>INDEX('Health Data'!$T:$T,MATCH($C$2,'Health Data'!$B:$B,0))</f>
        <v>6.5</v>
      </c>
      <c r="P34" s="72" t="s">
        <v>103</v>
      </c>
      <c r="Q34" s="412">
        <v>300</v>
      </c>
      <c r="R34" s="107">
        <f>IFERROR(O34/$S$10, "")</f>
        <v>375.41413242347824</v>
      </c>
    </row>
    <row r="35" spans="2:20" ht="33" customHeight="1" x14ac:dyDescent="0.2">
      <c r="B35" s="79"/>
      <c r="C35" s="530"/>
      <c r="D35" s="567"/>
      <c r="E35" s="567"/>
      <c r="F35" s="584"/>
      <c r="G35" s="413" t="s">
        <v>131</v>
      </c>
      <c r="H35" s="413" t="s">
        <v>28</v>
      </c>
      <c r="I35" s="77"/>
      <c r="J35" s="77"/>
      <c r="K35" s="77"/>
      <c r="L35" s="77"/>
      <c r="N35" s="579"/>
      <c r="O35" s="555"/>
      <c r="P35" s="72" t="s">
        <v>27</v>
      </c>
      <c r="Q35" s="412">
        <v>300</v>
      </c>
      <c r="R35" s="107">
        <f>IFERROR(O34/$S$11, "")</f>
        <v>1126.2423972704346</v>
      </c>
    </row>
    <row r="36" spans="2:20" ht="33" customHeight="1" x14ac:dyDescent="0.2">
      <c r="B36" s="79"/>
      <c r="C36" s="572" t="s">
        <v>132</v>
      </c>
      <c r="D36" s="574">
        <f>INDEX('Health Data'!$Y:$Y,MATCH($C$2,'Health Data'!$B:$B,0))</f>
        <v>2.8736850715746418E-2</v>
      </c>
      <c r="E36" s="71" t="s">
        <v>103</v>
      </c>
      <c r="F36" s="107">
        <v>1E-4</v>
      </c>
      <c r="G36" s="103">
        <f>I10*D36</f>
        <v>1.8539504988546324E-5</v>
      </c>
      <c r="H36" s="104">
        <f>I11*D36</f>
        <v>3.1353721872122776E-5</v>
      </c>
      <c r="I36" s="77"/>
      <c r="J36" s="77"/>
      <c r="K36" s="77"/>
      <c r="L36" s="77"/>
    </row>
    <row r="37" spans="2:20" ht="33" customHeight="1" x14ac:dyDescent="0.35">
      <c r="B37" s="79"/>
      <c r="C37" s="573"/>
      <c r="D37" s="575"/>
      <c r="E37" s="71" t="s">
        <v>27</v>
      </c>
      <c r="F37" s="107">
        <v>1E-4</v>
      </c>
      <c r="G37" s="105">
        <f>I12*D36</f>
        <v>1.2239506534105119E-6</v>
      </c>
      <c r="H37" s="104">
        <f>I13*D36</f>
        <v>3.693193491099427E-7</v>
      </c>
      <c r="I37" s="77"/>
      <c r="J37" s="77"/>
      <c r="K37" s="77"/>
      <c r="L37" s="77"/>
      <c r="N37" s="83" t="s">
        <v>126</v>
      </c>
      <c r="O37" s="85"/>
      <c r="P37" s="85"/>
      <c r="Q37" s="85"/>
      <c r="R37" s="85"/>
    </row>
    <row r="38" spans="2:20" ht="33" customHeight="1" x14ac:dyDescent="0.2">
      <c r="B38" s="79"/>
      <c r="I38" s="77"/>
      <c r="J38" s="77"/>
      <c r="K38" s="77"/>
      <c r="L38" s="77"/>
      <c r="N38" s="566" t="s">
        <v>127</v>
      </c>
      <c r="O38" s="566" t="s">
        <v>133</v>
      </c>
      <c r="P38" s="566" t="s">
        <v>23</v>
      </c>
      <c r="Q38" s="566" t="s">
        <v>129</v>
      </c>
      <c r="R38" s="411" t="s">
        <v>130</v>
      </c>
    </row>
    <row r="39" spans="2:20" ht="33" customHeight="1" x14ac:dyDescent="0.35">
      <c r="B39" s="79"/>
      <c r="C39" s="83" t="s">
        <v>134</v>
      </c>
      <c r="I39" s="77"/>
      <c r="J39" s="77"/>
      <c r="K39" s="77"/>
      <c r="L39" s="77"/>
      <c r="N39" s="567"/>
      <c r="O39" s="567"/>
      <c r="P39" s="567"/>
      <c r="Q39" s="567"/>
      <c r="R39" s="411" t="s">
        <v>135</v>
      </c>
    </row>
    <row r="40" spans="2:20" ht="33" customHeight="1" thickBot="1" x14ac:dyDescent="0.4">
      <c r="B40" s="79"/>
      <c r="C40" s="83"/>
      <c r="I40" s="77"/>
      <c r="J40" s="77"/>
      <c r="K40" s="77"/>
      <c r="L40" s="77"/>
      <c r="N40" s="572" t="s">
        <v>156</v>
      </c>
      <c r="O40" s="574" t="str">
        <f>INDEX('Health Data'!$AB:$AB,MATCH($C$2,'Health Data'!$B:$B,0))</f>
        <v>Not Quantified</v>
      </c>
      <c r="P40" s="71" t="s">
        <v>103</v>
      </c>
      <c r="Q40" s="597"/>
      <c r="R40" s="107" t="str">
        <f>IFERROR(T10*O40, "")</f>
        <v/>
      </c>
    </row>
    <row r="41" spans="2:20" ht="33" customHeight="1" x14ac:dyDescent="0.25">
      <c r="B41" s="79"/>
      <c r="C41" s="325" t="s">
        <v>136</v>
      </c>
      <c r="I41" s="77"/>
      <c r="J41" s="77"/>
      <c r="K41" s="77"/>
      <c r="L41" s="77"/>
      <c r="N41" s="576"/>
      <c r="O41" s="575"/>
      <c r="P41" s="71" t="s">
        <v>27</v>
      </c>
      <c r="Q41" s="596"/>
      <c r="R41" s="107" t="str">
        <f>IFERROR(T11*O40, "")</f>
        <v/>
      </c>
    </row>
    <row r="42" spans="2:20" ht="33" customHeight="1" thickBot="1" x14ac:dyDescent="0.3">
      <c r="B42" s="79"/>
      <c r="C42" s="326" t="s">
        <v>30</v>
      </c>
      <c r="I42" s="77"/>
      <c r="J42" s="77"/>
      <c r="K42" s="77"/>
      <c r="L42" s="77"/>
    </row>
    <row r="43" spans="2:20" ht="33" customHeight="1" x14ac:dyDescent="0.35">
      <c r="B43" s="79"/>
      <c r="C43" s="317"/>
      <c r="I43" s="77"/>
      <c r="J43" s="77"/>
      <c r="K43" s="77"/>
      <c r="L43" s="77"/>
      <c r="N43" s="83" t="s">
        <v>137</v>
      </c>
    </row>
    <row r="44" spans="2:20" ht="33" customHeight="1" thickBot="1" x14ac:dyDescent="0.25">
      <c r="B44" s="79"/>
      <c r="I44" s="77"/>
      <c r="J44" s="77"/>
      <c r="K44" s="77"/>
      <c r="L44" s="77"/>
    </row>
    <row r="45" spans="2:20" ht="33" customHeight="1" x14ac:dyDescent="0.2">
      <c r="B45" s="548" t="s">
        <v>138</v>
      </c>
      <c r="C45" s="540" t="s">
        <v>107</v>
      </c>
      <c r="D45" s="540" t="s">
        <v>23</v>
      </c>
      <c r="E45" s="540" t="s">
        <v>108</v>
      </c>
      <c r="F45" s="540" t="str">
        <f>_xlfn.CONCAT("Exposure Estimates: ",$C$42," MOE")</f>
        <v>Exposure Estimates: Worker MOE</v>
      </c>
      <c r="G45" s="540"/>
      <c r="H45" s="540"/>
      <c r="I45" s="540"/>
      <c r="J45" s="540"/>
      <c r="K45" s="542"/>
      <c r="L45" s="77"/>
      <c r="N45" s="532" t="s">
        <v>121</v>
      </c>
      <c r="O45" s="540" t="s">
        <v>23</v>
      </c>
      <c r="P45" s="540" t="s">
        <v>108</v>
      </c>
      <c r="Q45" s="540" t="str">
        <f>_xlfn.CONCAT("Exposure Estimates: ",$C$42," MOE")</f>
        <v>Exposure Estimates: Worker MOE</v>
      </c>
      <c r="R45" s="540"/>
      <c r="S45" s="540"/>
      <c r="T45" s="542"/>
    </row>
    <row r="46" spans="2:20" ht="33" customHeight="1" thickBot="1" x14ac:dyDescent="0.25">
      <c r="B46" s="549"/>
      <c r="C46" s="541"/>
      <c r="D46" s="541"/>
      <c r="E46" s="541"/>
      <c r="F46" s="416" t="s">
        <v>139</v>
      </c>
      <c r="G46" s="416" t="s">
        <v>34</v>
      </c>
      <c r="H46" s="416" t="s">
        <v>35</v>
      </c>
      <c r="I46" s="416" t="s">
        <v>32</v>
      </c>
      <c r="J46" s="416" t="s">
        <v>140</v>
      </c>
      <c r="K46" s="290" t="s">
        <v>31</v>
      </c>
      <c r="L46" s="77"/>
      <c r="N46" s="533"/>
      <c r="O46" s="541"/>
      <c r="P46" s="541"/>
      <c r="Q46" s="318" t="s">
        <v>135</v>
      </c>
      <c r="R46" s="318" t="s">
        <v>33</v>
      </c>
      <c r="S46" s="318" t="s">
        <v>141</v>
      </c>
      <c r="T46" s="319" t="s">
        <v>142</v>
      </c>
    </row>
    <row r="47" spans="2:20" ht="33" customHeight="1" x14ac:dyDescent="0.2">
      <c r="B47" s="550" t="s">
        <v>143</v>
      </c>
      <c r="C47" s="555">
        <f>INDEX('Health Data'!$G:$G,MATCH($C$2,'Health Data'!$B:$B,0))</f>
        <v>2.4163399353274051</v>
      </c>
      <c r="D47" s="292" t="s">
        <v>103</v>
      </c>
      <c r="E47" s="421">
        <v>30</v>
      </c>
      <c r="F47" s="304">
        <f>IFERROR($C47/IF($C$42="Worker",$F$10,$F$11), "")</f>
        <v>1315.5628536782538</v>
      </c>
      <c r="G47" s="305">
        <f>IFERROR($F47*'List Values'!$B$9, "")</f>
        <v>13155.628536782537</v>
      </c>
      <c r="H47" s="305">
        <f>IFERROR($F47*'List Values'!$B$10, "")</f>
        <v>32889.071341956347</v>
      </c>
      <c r="I47" s="305">
        <f>IFERROR($F47*'List Values'!$B$11, "")</f>
        <v>65778.142683912694</v>
      </c>
      <c r="J47" s="305">
        <f>IFERROR($F47*'List Values'!$B$12, "")</f>
        <v>1315562.8536782537</v>
      </c>
      <c r="K47" s="306">
        <f>IFERROR($F47*'List Values'!$B$13, "")</f>
        <v>13155628.536782539</v>
      </c>
      <c r="L47" s="77"/>
      <c r="N47" s="534">
        <f>INDEX('Health Data'!$K:$K,MATCH($C$2,'Health Data'!$B:$B,0))</f>
        <v>19.899999999999999</v>
      </c>
      <c r="O47" s="292" t="s">
        <v>103</v>
      </c>
      <c r="P47" s="421">
        <v>30</v>
      </c>
      <c r="Q47" s="305">
        <f>IFERROR($N47/Q$10, "")</f>
        <v>787.22246946546011</v>
      </c>
      <c r="R47" s="305">
        <f>IFERROR($N47/$Q$12, "")</f>
        <v>3936.1123473273005</v>
      </c>
      <c r="S47" s="305">
        <f>IFERROR($N47/$Q$14, "")</f>
        <v>7872.2246946546011</v>
      </c>
      <c r="T47" s="306">
        <f>IFERROR($N47/$Q$16, "")</f>
        <v>15744.449389309202</v>
      </c>
    </row>
    <row r="48" spans="2:20" ht="33" customHeight="1" thickBot="1" x14ac:dyDescent="0.25">
      <c r="B48" s="551"/>
      <c r="C48" s="556"/>
      <c r="D48" s="293" t="s">
        <v>27</v>
      </c>
      <c r="E48" s="418">
        <v>30</v>
      </c>
      <c r="F48" s="303">
        <f>IFERROR($C47/IF($C$42="Worker",$F$12,$F$13), "")</f>
        <v>15443.563934483849</v>
      </c>
      <c r="G48" s="303">
        <f>IFERROR($F48*'List Values'!$B$9, "")</f>
        <v>154435.63934483851</v>
      </c>
      <c r="H48" s="303">
        <f>IFERROR($F48*'List Values'!$B$10, "")</f>
        <v>386089.09836209624</v>
      </c>
      <c r="I48" s="303">
        <f>IFERROR($F48*'List Values'!$B$11, "")</f>
        <v>772178.19672419247</v>
      </c>
      <c r="J48" s="303">
        <f>IFERROR($F48*'List Values'!$B$12, "")</f>
        <v>15443563.934483849</v>
      </c>
      <c r="K48" s="307">
        <f>IFERROR($F48*'List Values'!$B$13, "")</f>
        <v>154435639.3448385</v>
      </c>
      <c r="L48" s="77"/>
      <c r="N48" s="535"/>
      <c r="O48" s="293" t="s">
        <v>27</v>
      </c>
      <c r="P48" s="418">
        <v>30</v>
      </c>
      <c r="Q48" s="321">
        <f>IFERROR($N47/$Q$11, "")</f>
        <v>2361.6674083963803</v>
      </c>
      <c r="R48" s="321">
        <f>IFERROR($N47/$Q$13, "")</f>
        <v>11808.337041981902</v>
      </c>
      <c r="S48" s="321">
        <f>IFERROR($N47/$Q$15, "")</f>
        <v>23616.674083963804</v>
      </c>
      <c r="T48" s="322">
        <f>IFERROR($N47/$Q$17, "")</f>
        <v>47233.348167927608</v>
      </c>
    </row>
    <row r="49" spans="2:20" ht="33" customHeight="1" x14ac:dyDescent="0.2">
      <c r="B49" s="552" t="s">
        <v>144</v>
      </c>
      <c r="C49" s="557">
        <v>22</v>
      </c>
      <c r="D49" s="299" t="s">
        <v>103</v>
      </c>
      <c r="E49" s="417">
        <v>30</v>
      </c>
      <c r="F49" s="300">
        <f>IFERROR($C49/IF($C$42="Worker",$G$10,$G$11), "")</f>
        <v>16333.333333333334</v>
      </c>
      <c r="G49" s="301">
        <f>IFERROR($F49*'List Values'!$B$9, "")</f>
        <v>163333.33333333334</v>
      </c>
      <c r="H49" s="301">
        <f>IFERROR($F49*'List Values'!$B$10, "")</f>
        <v>408333.33333333337</v>
      </c>
      <c r="I49" s="301">
        <f>IFERROR($F49*'List Values'!$B$11, "")</f>
        <v>816666.66666666674</v>
      </c>
      <c r="J49" s="301">
        <f>IFERROR($F49*'List Values'!$B$12, "")</f>
        <v>16333333.333333334</v>
      </c>
      <c r="K49" s="302">
        <f>IFERROR($F49*'List Values'!$B$13, "")</f>
        <v>163333333.33333334</v>
      </c>
      <c r="L49" s="77"/>
      <c r="N49" s="536">
        <f>INDEX('Health Data'!$T:$T,MATCH($C$2,'Health Data'!$B:$B,0))</f>
        <v>6.5</v>
      </c>
      <c r="O49" s="299" t="s">
        <v>103</v>
      </c>
      <c r="P49" s="417">
        <v>30</v>
      </c>
      <c r="Q49" s="301">
        <f>IFERROR($N$49/$R$10, "")</f>
        <v>350.6358646545562</v>
      </c>
      <c r="R49" s="301">
        <f>IFERROR($N$49/$R$12, "")</f>
        <v>1753.1793232727809</v>
      </c>
      <c r="S49" s="301">
        <f>IFERROR($N$49/$R$14, "")</f>
        <v>3506.3586465455619</v>
      </c>
      <c r="T49" s="302">
        <f>IFERROR($N$49/$R$16, "")</f>
        <v>7012.7172930911238</v>
      </c>
    </row>
    <row r="50" spans="2:20" ht="33" customHeight="1" thickBot="1" x14ac:dyDescent="0.25">
      <c r="B50" s="551"/>
      <c r="C50" s="558"/>
      <c r="D50" s="293" t="s">
        <v>27</v>
      </c>
      <c r="E50" s="418">
        <v>30</v>
      </c>
      <c r="F50" s="303">
        <f>IFERROR($C49/IF($C$42="Worker",$G$12,$G$13), "")</f>
        <v>191739.13043478259</v>
      </c>
      <c r="G50" s="303">
        <f>IFERROR($F50*'List Values'!$B$9, "")</f>
        <v>1917391.3043478259</v>
      </c>
      <c r="H50" s="303">
        <f>IFERROR($F50*'List Values'!$B$10, "")</f>
        <v>4793478.2608695645</v>
      </c>
      <c r="I50" s="303">
        <f>IFERROR($F50*'List Values'!$B$11, "")</f>
        <v>9586956.521739129</v>
      </c>
      <c r="J50" s="303">
        <f>IFERROR($F50*'List Values'!$B$12, "")</f>
        <v>191739130.43478259</v>
      </c>
      <c r="K50" s="307">
        <f>IFERROR($F50*'List Values'!$B$13, "")</f>
        <v>1917391304.347826</v>
      </c>
      <c r="L50" s="77"/>
      <c r="N50" s="537"/>
      <c r="O50" s="293" t="s">
        <v>27</v>
      </c>
      <c r="P50" s="418">
        <v>30</v>
      </c>
      <c r="Q50" s="321">
        <f>IFERROR($N$49/$R$11, "")</f>
        <v>1051.9075939636687</v>
      </c>
      <c r="R50" s="321">
        <f>IFERROR($N$49/$R$13, "")</f>
        <v>5259.5379698183442</v>
      </c>
      <c r="S50" s="321">
        <f>IFERROR($N$49/$R$15, "")</f>
        <v>10519.075939636688</v>
      </c>
      <c r="T50" s="322">
        <f>IFERROR($N$49/$R$17, "")</f>
        <v>21038.151879273377</v>
      </c>
    </row>
    <row r="51" spans="2:20" ht="33" customHeight="1" x14ac:dyDescent="0.2">
      <c r="B51" s="553" t="s">
        <v>145</v>
      </c>
      <c r="C51" s="559">
        <f>INDEX('Health Data'!$P:$P,MATCH($C$2,'Health Data'!$B:$B,0))</f>
        <v>5.2378738884397729</v>
      </c>
      <c r="D51" s="292" t="s">
        <v>103</v>
      </c>
      <c r="E51" s="421">
        <v>300</v>
      </c>
      <c r="F51" s="304">
        <f>IFERROR($C51/IF($C$42="Worker",$H$10,$H$11), "")</f>
        <v>4163.5277553220149</v>
      </c>
      <c r="G51" s="305">
        <f>IFERROR($F51*'List Values'!$B$9, "")</f>
        <v>41635.277553220149</v>
      </c>
      <c r="H51" s="305">
        <f>IFERROR($F51*'List Values'!$B$10, "")</f>
        <v>104088.19388305038</v>
      </c>
      <c r="I51" s="305">
        <f>IFERROR($F51*'List Values'!$B$11, "")</f>
        <v>208176.38776610076</v>
      </c>
      <c r="J51" s="305">
        <f>IFERROR($F51*'List Values'!$B$12, "")</f>
        <v>4163527.7553220149</v>
      </c>
      <c r="K51" s="306">
        <f>IFERROR($F51*'List Values'!$B$13, "")</f>
        <v>41635277.553220145</v>
      </c>
      <c r="L51" s="77"/>
      <c r="N51" s="538">
        <f>INDEX('Health Data'!$T:$T,MATCH($C$2,'Health Data'!$B:$B,0))</f>
        <v>6.5</v>
      </c>
      <c r="O51" s="292" t="s">
        <v>103</v>
      </c>
      <c r="P51" s="421">
        <v>300</v>
      </c>
      <c r="Q51" s="305">
        <f>IFERROR($N$51/$S$10, "")</f>
        <v>375.41413242347824</v>
      </c>
      <c r="R51" s="305">
        <f>IFERROR($N$51/$S$12, "")</f>
        <v>1877.0706621173911</v>
      </c>
      <c r="S51" s="305">
        <f>IFERROR($N$51/$S$14, "")</f>
        <v>3754.1413242347821</v>
      </c>
      <c r="T51" s="306">
        <f>IFERROR($N$51/$S$16, "")</f>
        <v>7508.2826484695643</v>
      </c>
    </row>
    <row r="52" spans="2:20" ht="33" customHeight="1" thickBot="1" x14ac:dyDescent="0.25">
      <c r="B52" s="554"/>
      <c r="C52" s="560"/>
      <c r="D52" s="293" t="s">
        <v>27</v>
      </c>
      <c r="E52" s="418">
        <v>300</v>
      </c>
      <c r="F52" s="303">
        <f>IFERROR($C51/IF($C$42="Worker",$H$12,$H$13), "")</f>
        <v>48876.195388562788</v>
      </c>
      <c r="G52" s="303">
        <f>IFERROR($F52*'List Values'!$B$9, "")</f>
        <v>488761.95388562791</v>
      </c>
      <c r="H52" s="303">
        <f>IFERROR($F52*'List Values'!$B$10, "")</f>
        <v>1221904.8847140698</v>
      </c>
      <c r="I52" s="303">
        <f>IFERROR($F52*'List Values'!$B$11, "")</f>
        <v>2443809.7694281396</v>
      </c>
      <c r="J52" s="303">
        <f>IFERROR($F52*'List Values'!$B$12, "")</f>
        <v>48876195.388562791</v>
      </c>
      <c r="K52" s="307">
        <f>IFERROR($F52*'List Values'!$B$13, "")</f>
        <v>488761953.88562787</v>
      </c>
      <c r="L52" s="77"/>
      <c r="N52" s="539"/>
      <c r="O52" s="320" t="s">
        <v>27</v>
      </c>
      <c r="P52" s="420">
        <v>300</v>
      </c>
      <c r="Q52" s="323">
        <f>IFERROR($N$51/$S$11, "")</f>
        <v>1126.2423972704346</v>
      </c>
      <c r="R52" s="323">
        <f>IFERROR($N$51/$S$13, "")</f>
        <v>5631.211986352173</v>
      </c>
      <c r="S52" s="323">
        <f>IFERROR($N$51/$S$15, "")</f>
        <v>11262.423972704346</v>
      </c>
      <c r="T52" s="324">
        <f>IFERROR($N$51/$S$17, "")</f>
        <v>22524.847945408692</v>
      </c>
    </row>
    <row r="53" spans="2:20" ht="33" customHeight="1" x14ac:dyDescent="0.2">
      <c r="B53" s="294"/>
      <c r="C53" s="547" t="s">
        <v>146</v>
      </c>
      <c r="D53" s="530" t="s">
        <v>23</v>
      </c>
      <c r="E53" s="530" t="s">
        <v>108</v>
      </c>
      <c r="F53" s="530" t="str">
        <f>_xlfn.CONCAT("Exposure Estimates: ",$C$42," MOE")</f>
        <v>Exposure Estimates: Worker MOE</v>
      </c>
      <c r="G53" s="530"/>
      <c r="H53" s="530"/>
      <c r="I53" s="530"/>
      <c r="J53" s="530"/>
      <c r="K53" s="531"/>
      <c r="L53" s="77"/>
      <c r="N53" s="532" t="s">
        <v>147</v>
      </c>
      <c r="O53" s="540" t="s">
        <v>23</v>
      </c>
      <c r="P53" s="540" t="s">
        <v>108</v>
      </c>
      <c r="Q53" s="540" t="str">
        <f>_xlfn.CONCAT("Exposure Estimates: ",$I$4," MOE")</f>
        <v>Exposure Estimates:  MOE</v>
      </c>
      <c r="R53" s="540"/>
      <c r="S53" s="540"/>
      <c r="T53" s="542"/>
    </row>
    <row r="54" spans="2:20" ht="33" customHeight="1" thickBot="1" x14ac:dyDescent="0.25">
      <c r="B54" s="294"/>
      <c r="C54" s="533"/>
      <c r="D54" s="541"/>
      <c r="E54" s="541"/>
      <c r="F54" s="416" t="s">
        <v>139</v>
      </c>
      <c r="G54" s="416" t="s">
        <v>34</v>
      </c>
      <c r="H54" s="416" t="s">
        <v>35</v>
      </c>
      <c r="I54" s="416" t="s">
        <v>32</v>
      </c>
      <c r="J54" s="416" t="s">
        <v>140</v>
      </c>
      <c r="K54" s="290" t="s">
        <v>31</v>
      </c>
      <c r="L54" s="77"/>
      <c r="N54" s="533"/>
      <c r="O54" s="541"/>
      <c r="P54" s="541"/>
      <c r="Q54" s="318" t="s">
        <v>135</v>
      </c>
      <c r="R54" s="318" t="s">
        <v>33</v>
      </c>
      <c r="S54" s="318" t="s">
        <v>141</v>
      </c>
      <c r="T54" s="319" t="s">
        <v>142</v>
      </c>
    </row>
    <row r="55" spans="2:20" ht="33" customHeight="1" x14ac:dyDescent="0.2">
      <c r="B55" s="545" t="s">
        <v>148</v>
      </c>
      <c r="C55" s="543">
        <f>INDEX('Health Data'!$Y:$Y,MATCH($C$2,'Health Data'!$B:$B,0))</f>
        <v>2.8736850715746418E-2</v>
      </c>
      <c r="D55" s="299" t="s">
        <v>103</v>
      </c>
      <c r="E55" s="107">
        <v>1E-4</v>
      </c>
      <c r="F55" s="340">
        <f>IFERROR($C55*IF($C$42="Worker",$I$10,$I$11), "")</f>
        <v>1.8539504988546324E-5</v>
      </c>
      <c r="G55" s="341">
        <f>IFERROR($F55/'List Values'!$B$9, "")</f>
        <v>1.8539504988546323E-6</v>
      </c>
      <c r="H55" s="341">
        <f>IFERROR($F55/'List Values'!$B$10, "")</f>
        <v>7.4158019954185299E-7</v>
      </c>
      <c r="I55" s="341">
        <f>IFERROR($F55/'List Values'!$B$11, "")</f>
        <v>3.707900997709265E-7</v>
      </c>
      <c r="J55" s="341">
        <f>IFERROR($F55/'List Values'!$B$12, "")</f>
        <v>1.8539504988546325E-8</v>
      </c>
      <c r="K55" s="342">
        <f>IFERROR($F55/'List Values'!$B$13, "")</f>
        <v>1.8539504988546323E-9</v>
      </c>
      <c r="L55" s="77"/>
      <c r="N55" s="563" t="str">
        <f>INDEX('Health Data'!$AB:$AB,MATCH($C$2,'Health Data'!$B:$B,0))</f>
        <v>Not Quantified</v>
      </c>
      <c r="O55" s="292" t="s">
        <v>103</v>
      </c>
      <c r="P55" s="596"/>
      <c r="Q55" s="305" t="str">
        <f>IFERROR($N$55*$T10, "")</f>
        <v/>
      </c>
      <c r="R55" s="305" t="str">
        <f>IFERROR($N$55*$T12, "")</f>
        <v/>
      </c>
      <c r="S55" s="305" t="str">
        <f>IFERROR($N$55*$T14, "")</f>
        <v/>
      </c>
      <c r="T55" s="306" t="str">
        <f>IFERROR($N$55*$T16, "")</f>
        <v/>
      </c>
    </row>
    <row r="56" spans="2:20" ht="33" customHeight="1" thickBot="1" x14ac:dyDescent="0.25">
      <c r="B56" s="546"/>
      <c r="C56" s="544"/>
      <c r="D56" s="293" t="s">
        <v>27</v>
      </c>
      <c r="E56" s="107">
        <v>1E-4</v>
      </c>
      <c r="F56" s="337">
        <f>IFERROR($C55*IF($C$42="Worker",$I$12,$I$13), "")</f>
        <v>1.2239506534105119E-6</v>
      </c>
      <c r="G56" s="338">
        <f>IFERROR($F56/'List Values'!$B$9, "")</f>
        <v>1.2239506534105117E-7</v>
      </c>
      <c r="H56" s="338">
        <f>IFERROR($F56/'List Values'!$B$10, "")</f>
        <v>4.8958026136420475E-8</v>
      </c>
      <c r="I56" s="338">
        <f>IFERROR($F56/'List Values'!$B$11, "")</f>
        <v>2.4479013068210238E-8</v>
      </c>
      <c r="J56" s="338">
        <f>IFERROR($F56/'List Values'!$B$12, "")</f>
        <v>1.2239506534105119E-9</v>
      </c>
      <c r="K56" s="339">
        <f>IFERROR($F56/'List Values'!$B$13, "")</f>
        <v>1.2239506534105119E-10</v>
      </c>
      <c r="L56" s="77"/>
      <c r="N56" s="564"/>
      <c r="O56" s="293" t="s">
        <v>27</v>
      </c>
      <c r="P56" s="558"/>
      <c r="Q56" s="321" t="str">
        <f>IFERROR($N$55*$T11, "")</f>
        <v/>
      </c>
      <c r="R56" s="321" t="str">
        <f>IFERROR($N$55*$T13, "")</f>
        <v/>
      </c>
      <c r="S56" s="321" t="str">
        <f>IFERROR($N$55*$T15, "")</f>
        <v/>
      </c>
      <c r="T56" s="322" t="str">
        <f>IFERROR($N$55*$T17, "")</f>
        <v/>
      </c>
    </row>
    <row r="57" spans="2:20" ht="33" customHeight="1" x14ac:dyDescent="0.2">
      <c r="B57" s="79"/>
      <c r="I57" s="77"/>
      <c r="J57" s="77"/>
      <c r="K57" s="77"/>
      <c r="L57" s="77"/>
    </row>
    <row r="58" spans="2:20" ht="33" customHeight="1" x14ac:dyDescent="0.2">
      <c r="B58" s="79"/>
      <c r="I58" s="77"/>
      <c r="J58" s="77"/>
      <c r="K58" s="77"/>
      <c r="L58" s="77"/>
    </row>
    <row r="59" spans="2:20" ht="33" customHeight="1" x14ac:dyDescent="0.2">
      <c r="B59" s="79"/>
      <c r="I59" s="77"/>
      <c r="J59" s="77"/>
      <c r="K59" s="77"/>
      <c r="L59" s="77"/>
    </row>
    <row r="60" spans="2:20" ht="33" customHeight="1" x14ac:dyDescent="0.2">
      <c r="B60" s="79"/>
      <c r="I60" s="77"/>
      <c r="J60" s="77"/>
      <c r="K60" s="77"/>
      <c r="L60" s="77"/>
    </row>
    <row r="61" spans="2:20" s="85" customFormat="1" ht="21" x14ac:dyDescent="0.35">
      <c r="C61" s="66"/>
      <c r="D61" s="66"/>
      <c r="E61" s="66"/>
      <c r="F61" s="66"/>
      <c r="G61" s="66"/>
      <c r="H61" s="66"/>
      <c r="N61" s="66"/>
      <c r="O61" s="66"/>
      <c r="P61" s="66"/>
      <c r="Q61" s="66"/>
      <c r="R61" s="66"/>
      <c r="S61" s="66"/>
      <c r="T61" s="66"/>
    </row>
    <row r="62" spans="2:20" ht="25.5" customHeight="1" x14ac:dyDescent="0.2">
      <c r="B62" s="76"/>
      <c r="I62" s="90"/>
      <c r="J62" s="90"/>
      <c r="K62" s="90"/>
      <c r="L62" s="90"/>
    </row>
    <row r="63" spans="2:20" ht="14.45" customHeight="1" x14ac:dyDescent="0.2">
      <c r="B63" s="76"/>
      <c r="I63" s="90"/>
      <c r="J63" s="90"/>
      <c r="K63" s="90"/>
      <c r="L63" s="90"/>
    </row>
    <row r="64" spans="2:20" x14ac:dyDescent="0.2">
      <c r="B64" s="76"/>
      <c r="I64" s="89"/>
      <c r="J64" s="89"/>
      <c r="K64" s="89"/>
      <c r="L64" s="89"/>
    </row>
    <row r="65" spans="2:20" ht="21" x14ac:dyDescent="0.35">
      <c r="B65" s="76"/>
      <c r="I65" s="89"/>
      <c r="J65" s="89"/>
      <c r="K65" s="89"/>
      <c r="L65" s="89"/>
      <c r="S65" s="85"/>
      <c r="T65" s="85"/>
    </row>
    <row r="69" spans="2:20" ht="29.1" customHeight="1" x14ac:dyDescent="0.2"/>
  </sheetData>
  <sheetProtection sheet="1" objects="1" scenarios="1" formatCells="0" formatColumns="0" formatRows="0"/>
  <mergeCells count="93">
    <mergeCell ref="C8:C9"/>
    <mergeCell ref="D8:D9"/>
    <mergeCell ref="N8:N9"/>
    <mergeCell ref="O8:O9"/>
    <mergeCell ref="D10:D11"/>
    <mergeCell ref="N10:N11"/>
    <mergeCell ref="G16:H16"/>
    <mergeCell ref="D12:D13"/>
    <mergeCell ref="C16:C17"/>
    <mergeCell ref="D16:D17"/>
    <mergeCell ref="E16:E17"/>
    <mergeCell ref="F16:F17"/>
    <mergeCell ref="P20:P21"/>
    <mergeCell ref="Q20:Q21"/>
    <mergeCell ref="C18:C19"/>
    <mergeCell ref="D18:D19"/>
    <mergeCell ref="N22:N23"/>
    <mergeCell ref="O22:O23"/>
    <mergeCell ref="C22:C23"/>
    <mergeCell ref="D22:D23"/>
    <mergeCell ref="E22:E23"/>
    <mergeCell ref="F22:F23"/>
    <mergeCell ref="G22:H22"/>
    <mergeCell ref="P26:P27"/>
    <mergeCell ref="Q26:Q27"/>
    <mergeCell ref="C24:C25"/>
    <mergeCell ref="D24:D25"/>
    <mergeCell ref="N28:N29"/>
    <mergeCell ref="O28:O29"/>
    <mergeCell ref="N26:N27"/>
    <mergeCell ref="C28:C29"/>
    <mergeCell ref="D28:D29"/>
    <mergeCell ref="E28:E29"/>
    <mergeCell ref="F28:F29"/>
    <mergeCell ref="G28:H28"/>
    <mergeCell ref="P32:P33"/>
    <mergeCell ref="Q32:Q33"/>
    <mergeCell ref="C30:C31"/>
    <mergeCell ref="D30:D31"/>
    <mergeCell ref="N34:N35"/>
    <mergeCell ref="O34:O35"/>
    <mergeCell ref="N32:N33"/>
    <mergeCell ref="C34:C35"/>
    <mergeCell ref="D34:D35"/>
    <mergeCell ref="E34:E35"/>
    <mergeCell ref="F34:F35"/>
    <mergeCell ref="G34:H34"/>
    <mergeCell ref="P38:P39"/>
    <mergeCell ref="Q38:Q39"/>
    <mergeCell ref="C36:C37"/>
    <mergeCell ref="D36:D37"/>
    <mergeCell ref="N40:N41"/>
    <mergeCell ref="O40:O41"/>
    <mergeCell ref="Q40:Q41"/>
    <mergeCell ref="N38:N39"/>
    <mergeCell ref="B45:B46"/>
    <mergeCell ref="C45:C46"/>
    <mergeCell ref="D45:D46"/>
    <mergeCell ref="E45:E46"/>
    <mergeCell ref="F45:K45"/>
    <mergeCell ref="B47:B48"/>
    <mergeCell ref="C47:C48"/>
    <mergeCell ref="B49:B50"/>
    <mergeCell ref="C49:C50"/>
    <mergeCell ref="B51:B52"/>
    <mergeCell ref="C51:C52"/>
    <mergeCell ref="C53:C54"/>
    <mergeCell ref="D53:D54"/>
    <mergeCell ref="E53:E54"/>
    <mergeCell ref="F53:K53"/>
    <mergeCell ref="B55:B56"/>
    <mergeCell ref="C55:C56"/>
    <mergeCell ref="N12:N13"/>
    <mergeCell ref="N14:N15"/>
    <mergeCell ref="N16:N17"/>
    <mergeCell ref="N45:N46"/>
    <mergeCell ref="O45:O46"/>
    <mergeCell ref="O38:O39"/>
    <mergeCell ref="O32:O33"/>
    <mergeCell ref="O26:O27"/>
    <mergeCell ref="N20:N21"/>
    <mergeCell ref="O20:O21"/>
    <mergeCell ref="P45:P46"/>
    <mergeCell ref="Q45:T45"/>
    <mergeCell ref="N47:N48"/>
    <mergeCell ref="N49:N50"/>
    <mergeCell ref="N51:N52"/>
    <mergeCell ref="N53:N54"/>
    <mergeCell ref="O53:O54"/>
    <mergeCell ref="P53:P54"/>
    <mergeCell ref="Q53:T53"/>
    <mergeCell ref="N55:N56"/>
    <mergeCell ref="P55:P56"/>
  </mergeCells>
  <conditionalFormatting sqref="F47:K48">
    <cfRule type="cellIs" dxfId="1408" priority="117" operator="greaterThanOrEqual">
      <formula>$E$47</formula>
    </cfRule>
    <cfRule type="cellIs" dxfId="1407" priority="118" operator="lessThan">
      <formula>$E$47</formula>
    </cfRule>
  </conditionalFormatting>
  <conditionalFormatting sqref="F47:K52">
    <cfRule type="cellIs" dxfId="1406" priority="99" operator="lessThanOrEqual">
      <formula>0.1</formula>
    </cfRule>
    <cfRule type="cellIs" dxfId="1405" priority="95" operator="greaterThanOrEqual">
      <formula>10000</formula>
    </cfRule>
    <cfRule type="cellIs" dxfId="1404" priority="96" operator="greaterThanOrEqual">
      <formula>10</formula>
    </cfRule>
    <cfRule type="cellIs" dxfId="1403" priority="97" operator="between">
      <formula>1</formula>
      <formula>9.999</formula>
    </cfRule>
    <cfRule type="cellIs" dxfId="1402" priority="98" operator="between">
      <formula>0.1</formula>
      <formula>0.999</formula>
    </cfRule>
    <cfRule type="containsBlanks" dxfId="1401" priority="100" stopIfTrue="1">
      <formula>LEN(TRIM(F47))=0</formula>
    </cfRule>
  </conditionalFormatting>
  <conditionalFormatting sqref="F49:K50">
    <cfRule type="cellIs" dxfId="1400" priority="110" operator="lessThan">
      <formula>$E$49</formula>
    </cfRule>
    <cfRule type="cellIs" dxfId="1399" priority="109" operator="greaterThanOrEqual">
      <formula>$E$49</formula>
    </cfRule>
  </conditionalFormatting>
  <conditionalFormatting sqref="F51:K52">
    <cfRule type="cellIs" dxfId="1398" priority="101" operator="greaterThanOrEqual">
      <formula>$E$51</formula>
    </cfRule>
    <cfRule type="cellIs" dxfId="1397" priority="102" operator="lessThan">
      <formula>$E$51</formula>
    </cfRule>
  </conditionalFormatting>
  <conditionalFormatting sqref="F55:K55">
    <cfRule type="containsBlanks" dxfId="1396" priority="91" stopIfTrue="1">
      <formula>LEN(TRIM(F55))=0</formula>
    </cfRule>
    <cfRule type="cellIs" dxfId="1395" priority="92" operator="greaterThanOrEqual">
      <formula>0.0001</formula>
    </cfRule>
  </conditionalFormatting>
  <conditionalFormatting sqref="F55:K56">
    <cfRule type="cellIs" dxfId="1394" priority="2" operator="between">
      <formula>0.1</formula>
      <formula>0.999</formula>
    </cfRule>
    <cfRule type="cellIs" dxfId="1393" priority="1" operator="between">
      <formula>1</formula>
      <formula>9.999</formula>
    </cfRule>
    <cfRule type="cellIs" dxfId="1392" priority="87" operator="greaterThanOrEqual">
      <formula>10</formula>
    </cfRule>
    <cfRule type="cellIs" dxfId="1391" priority="86" operator="greaterThanOrEqual">
      <formula>10000</formula>
    </cfRule>
  </conditionalFormatting>
  <conditionalFormatting sqref="F56:K56">
    <cfRule type="containsBlanks" dxfId="1390" priority="3" stopIfTrue="1">
      <formula>LEN(TRIM(F56))=0</formula>
    </cfRule>
    <cfRule type="cellIs" dxfId="1389" priority="4" operator="greaterThanOrEqual">
      <formula>0.0001</formula>
    </cfRule>
    <cfRule type="cellIs" dxfId="1388" priority="90" operator="lessThanOrEqual">
      <formula>0.1</formula>
    </cfRule>
  </conditionalFormatting>
  <conditionalFormatting sqref="G18:H19 G24:H25 G30:H31">
    <cfRule type="cellIs" dxfId="1387" priority="141" operator="lessThan">
      <formula>$F18</formula>
    </cfRule>
    <cfRule type="cellIs" dxfId="1386" priority="135" operator="greaterThanOrEqual">
      <formula>10000</formula>
    </cfRule>
    <cfRule type="cellIs" dxfId="1385" priority="136" operator="greaterThanOrEqual">
      <formula>10</formula>
    </cfRule>
    <cfRule type="cellIs" dxfId="1384" priority="137" operator="between">
      <formula>1</formula>
      <formula>9.999</formula>
    </cfRule>
    <cfRule type="cellIs" dxfId="1383" priority="138" operator="between">
      <formula>0.1</formula>
      <formula>0.999</formula>
    </cfRule>
    <cfRule type="cellIs" dxfId="1382" priority="139" operator="lessThanOrEqual">
      <formula>0.1</formula>
    </cfRule>
    <cfRule type="containsBlanks" dxfId="1381" priority="140" stopIfTrue="1">
      <formula>LEN(TRIM(G18))=0</formula>
    </cfRule>
  </conditionalFormatting>
  <conditionalFormatting sqref="G36:H37">
    <cfRule type="cellIs" dxfId="1380" priority="133" operator="greaterThan">
      <formula>0.0001</formula>
    </cfRule>
    <cfRule type="cellIs" dxfId="1379" priority="130" operator="lessThanOrEqual">
      <formula>0.1</formula>
    </cfRule>
    <cfRule type="cellIs" dxfId="1378" priority="127" operator="greaterThanOrEqual">
      <formula>10</formula>
    </cfRule>
    <cfRule type="cellIs" dxfId="1377" priority="128" operator="between">
      <formula>1</formula>
      <formula>9.999</formula>
    </cfRule>
    <cfRule type="cellIs" dxfId="1376" priority="129" operator="between">
      <formula>0.1</formula>
      <formula>0.999</formula>
    </cfRule>
    <cfRule type="containsBlanks" dxfId="1375" priority="131" stopIfTrue="1">
      <formula>LEN(TRIM(G36))=0</formula>
    </cfRule>
    <cfRule type="cellIs" dxfId="1374" priority="126" operator="greaterThanOrEqual">
      <formula>10000</formula>
    </cfRule>
    <cfRule type="cellIs" dxfId="1373" priority="132" operator="equal">
      <formula>0</formula>
    </cfRule>
  </conditionalFormatting>
  <conditionalFormatting sqref="P10:T17">
    <cfRule type="cellIs" dxfId="1372" priority="69" operator="lessThan">
      <formula>0.1</formula>
    </cfRule>
    <cfRule type="cellIs" dxfId="1371" priority="70" operator="between">
      <formula>0.1</formula>
      <formula>0.999</formula>
    </cfRule>
    <cfRule type="cellIs" dxfId="1370" priority="71" operator="between">
      <formula>1</formula>
      <formula>10</formula>
    </cfRule>
    <cfRule type="cellIs" dxfId="1369" priority="72" operator="greaterThan">
      <formula>10</formula>
    </cfRule>
    <cfRule type="cellIs" dxfId="1368" priority="63" operator="greaterThanOrEqual">
      <formula>10</formula>
    </cfRule>
    <cfRule type="cellIs" dxfId="1367" priority="73" operator="greaterThan">
      <formula>10000</formula>
    </cfRule>
    <cfRule type="cellIs" dxfId="1366" priority="62" operator="greaterThanOrEqual">
      <formula>10000</formula>
    </cfRule>
    <cfRule type="cellIs" dxfId="1365" priority="64" operator="between">
      <formula>1</formula>
      <formula>9.999</formula>
    </cfRule>
    <cfRule type="cellIs" dxfId="1364" priority="65" operator="between">
      <formula>0.1</formula>
      <formula>0.999</formula>
    </cfRule>
    <cfRule type="cellIs" dxfId="1363" priority="66" operator="lessThanOrEqual">
      <formula>0.1</formula>
    </cfRule>
    <cfRule type="containsBlanks" dxfId="1362" priority="67" stopIfTrue="1">
      <formula>LEN(TRIM(P10))=0</formula>
    </cfRule>
    <cfRule type="cellIs" dxfId="1361" priority="68" operator="equal">
      <formula>0</formula>
    </cfRule>
  </conditionalFormatting>
  <conditionalFormatting sqref="Q47:T47">
    <cfRule type="cellIs" dxfId="1360" priority="61" operator="lessThan">
      <formula>$P$47</formula>
    </cfRule>
    <cfRule type="cellIs" dxfId="1359" priority="60" operator="greaterThanOrEqual">
      <formula>$P$47</formula>
    </cfRule>
  </conditionalFormatting>
  <conditionalFormatting sqref="Q47:T52">
    <cfRule type="cellIs" dxfId="1358" priority="19" operator="lessThanOrEqual">
      <formula>0.1</formula>
    </cfRule>
    <cfRule type="cellIs" dxfId="1357" priority="18" operator="greaterThanOrEqual">
      <formula>10</formula>
    </cfRule>
    <cfRule type="cellIs" dxfId="1356" priority="17" operator="greaterThanOrEqual">
      <formula>10000</formula>
    </cfRule>
    <cfRule type="containsBlanks" dxfId="1355" priority="16" stopIfTrue="1">
      <formula>LEN(TRIM(Q47))=0</formula>
    </cfRule>
    <cfRule type="cellIs" dxfId="1354" priority="15" operator="between">
      <formula>0.1</formula>
      <formula>0.999</formula>
    </cfRule>
    <cfRule type="cellIs" dxfId="1353" priority="14" operator="between">
      <formula>1</formula>
      <formula>9.999</formula>
    </cfRule>
  </conditionalFormatting>
  <conditionalFormatting sqref="Q48:T48">
    <cfRule type="cellIs" dxfId="1352" priority="53" operator="lessThan">
      <formula>$P$48</formula>
    </cfRule>
    <cfRule type="cellIs" dxfId="1351" priority="52" operator="greaterThanOrEqual">
      <formula>$P$48</formula>
    </cfRule>
  </conditionalFormatting>
  <conditionalFormatting sqref="Q49:T49">
    <cfRule type="cellIs" dxfId="1350" priority="45" operator="lessThan">
      <formula>$P$49</formula>
    </cfRule>
    <cfRule type="cellIs" dxfId="1349" priority="44" operator="greaterThanOrEqual">
      <formula>$P$49</formula>
    </cfRule>
  </conditionalFormatting>
  <conditionalFormatting sqref="Q50:T50">
    <cfRule type="cellIs" dxfId="1348" priority="36" operator="greaterThanOrEqual">
      <formula>$P$48</formula>
    </cfRule>
    <cfRule type="cellIs" dxfId="1347" priority="37" operator="lessThan">
      <formula>$P$48</formula>
    </cfRule>
  </conditionalFormatting>
  <conditionalFormatting sqref="Q51:T51">
    <cfRule type="cellIs" dxfId="1346" priority="28" operator="greaterThanOrEqual">
      <formula>$P$49</formula>
    </cfRule>
    <cfRule type="cellIs" dxfId="1345" priority="29" operator="lessThan">
      <formula>$P$49</formula>
    </cfRule>
  </conditionalFormatting>
  <conditionalFormatting sqref="Q52:T52">
    <cfRule type="cellIs" dxfId="1344" priority="21" operator="lessThan">
      <formula>$P$51</formula>
    </cfRule>
    <cfRule type="cellIs" dxfId="1343" priority="20" operator="greaterThanOrEqual">
      <formula>$P$51</formula>
    </cfRule>
  </conditionalFormatting>
  <conditionalFormatting sqref="Q55:T56">
    <cfRule type="cellIs" dxfId="1342" priority="13" operator="between">
      <formula>0.000001</formula>
      <formula>0.00001</formula>
    </cfRule>
    <cfRule type="cellIs" dxfId="1341" priority="12" operator="between">
      <formula>0.00001</formula>
      <formula>0.0001</formula>
    </cfRule>
    <cfRule type="cellIs" dxfId="1340" priority="11" operator="greaterThanOrEqual">
      <formula>0.0001</formula>
    </cfRule>
    <cfRule type="containsBlanks" dxfId="1339" priority="10" stopIfTrue="1">
      <formula>LEN(TRIM(Q55))=0</formula>
    </cfRule>
    <cfRule type="cellIs" dxfId="1338" priority="9" operator="lessThanOrEqual">
      <formula>0.1</formula>
    </cfRule>
    <cfRule type="cellIs" dxfId="1337" priority="8" operator="between">
      <formula>1</formula>
      <formula>100</formula>
    </cfRule>
    <cfRule type="cellIs" dxfId="1336" priority="7" operator="greaterThan">
      <formula>100</formula>
    </cfRule>
  </conditionalFormatting>
  <conditionalFormatting sqref="R22:R23 R28:R29 R34:R35">
    <cfRule type="cellIs" dxfId="1335" priority="119" operator="greaterThanOrEqual">
      <formula>10000</formula>
    </cfRule>
    <cfRule type="cellIs" dxfId="1334" priority="121" operator="between">
      <formula>1</formula>
      <formula>9.999</formula>
    </cfRule>
    <cfRule type="cellIs" dxfId="1333" priority="122" operator="between">
      <formula>0.1</formula>
      <formula>0.999</formula>
    </cfRule>
    <cfRule type="cellIs" dxfId="1332" priority="123" operator="lessThanOrEqual">
      <formula>0.1</formula>
    </cfRule>
    <cfRule type="containsBlanks" dxfId="1331" priority="124" stopIfTrue="1">
      <formula>LEN(TRIM(R22))=0</formula>
    </cfRule>
    <cfRule type="cellIs" dxfId="1330" priority="125" operator="lessThan">
      <formula>$Q22</formula>
    </cfRule>
    <cfRule type="cellIs" dxfId="1329" priority="120" operator="greaterThanOrEqual">
      <formula>10</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06E1154-9DE2-4161-AB48-8DED92682233}">
          <x14:formula1>
            <xm:f>'List Values'!$B$4:$B$5</xm:f>
          </x14:formula1>
          <xm:sqref>C42:C43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f7663de67ef2afa6df94d55ff7e5679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02cccc19423a0cd6fa028e0a1e544b83"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d8da0f-3542-4e50-96c8-f1f698624e86">
      <Terms xmlns="http://schemas.microsoft.com/office/infopath/2007/PartnerControls"/>
    </lcf76f155ced4ddcb4097134ff3c332f>
    <TaxCatchAll xmlns="4ffa91fb-a0ff-4ac5-b2db-65c790d184a4">
      <Value>1257</Value>
      <Value>1914</Value>
      <Value>1913</Value>
      <Value>1912</Value>
      <Value>1911</Value>
      <Value>1910</Value>
      <Value>1909</Value>
      <Value>1908</Value>
      <Value>1907</Value>
      <Value>1647</Value>
      <Value>1905</Value>
      <Value>1645</Value>
      <Value>1198</Value>
      <Value>1928</Value>
      <Value>1673</Value>
      <Value>1671</Value>
      <Value>745</Value>
      <Value>1188</Value>
      <Value>2038</Value>
      <Value>1259</Value>
    </TaxCatchAll>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trans12dichloroethane</TermName>
          <TermId xmlns="http://schemas.microsoft.com/office/infopath/2007/PartnerControls">60e4e04c-d3b1-46e2-be88-71c9357ef1d9</TermId>
        </TermInfo>
        <TermInfo xmlns="http://schemas.microsoft.com/office/infopath/2007/PartnerControls">
          <TermName xmlns="http://schemas.microsoft.com/office/infopath/2007/PartnerControls">CASRN 79-00-5</TermName>
          <TermId xmlns="http://schemas.microsoft.com/office/infopath/2007/PartnerControls">b56e66f1-a830-4a26-a58e-5ed7f9756a87</TermId>
        </TermInfo>
        <TermInfo xmlns="http://schemas.microsoft.com/office/infopath/2007/PartnerControls">
          <TermName xmlns="http://schemas.microsoft.com/office/infopath/2007/PartnerControls">112trichloroethane</TermName>
          <TermId xmlns="http://schemas.microsoft.com/office/infopath/2007/PartnerControls">b16dd643-a817-40a1-b5b6-140d19842d6c</TermId>
        </TermInfo>
        <TermInfo xmlns="http://schemas.microsoft.com/office/infopath/2007/PartnerControls">
          <TermName xmlns="http://schemas.microsoft.com/office/infopath/2007/PartnerControls">CASRN 75-09-2</TermName>
          <TermId xmlns="http://schemas.microsoft.com/office/infopath/2007/PartnerControls">d135f697-0505-445d-895c-bcc434be27ba</TermId>
        </TermInfo>
        <TermInfo xmlns="http://schemas.microsoft.com/office/infopath/2007/PartnerControls">
          <TermName xmlns="http://schemas.microsoft.com/office/infopath/2007/PartnerControls">CASRN 56-23-5</TermName>
          <TermId xmlns="http://schemas.microsoft.com/office/infopath/2007/PartnerControls">6ee86646-fcda-4837-ab99-7bf810e6ca55</TermId>
        </TermInfo>
        <TermInfo xmlns="http://schemas.microsoft.com/office/infopath/2007/PartnerControls">
          <TermName xmlns="http://schemas.microsoft.com/office/infopath/2007/PartnerControls">Carbon Tetrachloride</TermName>
          <TermId xmlns="http://schemas.microsoft.com/office/infopath/2007/PartnerControls">752a4454-40cf-4a71-8e53-01e10ded92a5</TermId>
        </TermInfo>
        <TermInfo xmlns="http://schemas.microsoft.com/office/infopath/2007/PartnerControls">
          <TermName xmlns="http://schemas.microsoft.com/office/infopath/2007/PartnerControls">CASRN 127-18-4</TermName>
          <TermId xmlns="http://schemas.microsoft.com/office/infopath/2007/PartnerControls">edfae95b-85f5-40c4-a383-88e919601952</TermId>
        </TermInfo>
        <TermInfo xmlns="http://schemas.microsoft.com/office/infopath/2007/PartnerControls">
          <TermName xmlns="http://schemas.microsoft.com/office/infopath/2007/PartnerControls">CASRN 79-01-6</TermName>
          <TermId xmlns="http://schemas.microsoft.com/office/infopath/2007/PartnerControls">339fc59a-0384-4b9c-aa44-02d7f3ae2d9b</TermId>
        </TermInfo>
        <TermInfo xmlns="http://schemas.microsoft.com/office/infopath/2007/PartnerControls">
          <TermName xmlns="http://schemas.microsoft.com/office/infopath/2007/PartnerControls">CASRN 75-34-3</TermName>
          <TermId xmlns="http://schemas.microsoft.com/office/infopath/2007/PartnerControls">68eb818b-f6c9-42ec-97d1-d101eff5e078</TermId>
        </TermInfo>
        <TermInfo xmlns="http://schemas.microsoft.com/office/infopath/2007/PartnerControls">
          <TermName xmlns="http://schemas.microsoft.com/office/infopath/2007/PartnerControls">Byproducts</TermName>
          <TermId xmlns="http://schemas.microsoft.com/office/infopath/2007/PartnerControls">77c9c981-a712-4230-a0e1-6cca46d960dc</TermId>
        </TermInfo>
        <TermInfo xmlns="http://schemas.microsoft.com/office/infopath/2007/PartnerControls">
          <TermName xmlns="http://schemas.microsoft.com/office/infopath/2007/PartnerControls">11Dichloroethane</TermName>
          <TermId xmlns="http://schemas.microsoft.com/office/infopath/2007/PartnerControls">f0553ca5-25fa-4f60-8a15-ba2924ee9f47</TermId>
        </TermInfo>
        <TermInfo xmlns="http://schemas.microsoft.com/office/infopath/2007/PartnerControls">
          <TermName xmlns="http://schemas.microsoft.com/office/infopath/2007/PartnerControls">risk calculator</TermName>
          <TermId xmlns="http://schemas.microsoft.com/office/infopath/2007/PartnerControls">8af20125-90c4-4af3-92eb-7f5682895c4d</TermId>
        </TermInfo>
        <TermInfo xmlns="http://schemas.microsoft.com/office/infopath/2007/PartnerControls">
          <TermName xmlns="http://schemas.microsoft.com/office/infopath/2007/PartnerControls">CASRN 107-06-2</TermName>
          <TermId xmlns="http://schemas.microsoft.com/office/infopath/2007/PartnerControls">f01d8752-e9a4-4691-bb25-53c3aaed59fd</TermId>
        </TermInfo>
        <TermInfo xmlns="http://schemas.microsoft.com/office/infopath/2007/PartnerControls">
          <TermName xmlns="http://schemas.microsoft.com/office/infopath/2007/PartnerControls">methylene chloride</TermName>
          <TermId xmlns="http://schemas.microsoft.com/office/infopath/2007/PartnerControls">595245b4-e890-4bac-81f1-ecee2a664b7b</TermId>
        </TermInfo>
        <TermInfo xmlns="http://schemas.microsoft.com/office/infopath/2007/PartnerControls">
          <TermName xmlns="http://schemas.microsoft.com/office/infopath/2007/PartnerControls">12Dichloroethane</TermName>
          <TermId xmlns="http://schemas.microsoft.com/office/infopath/2007/PartnerControls">b26867e0-e188-4d8d-b848-2e1a306b3e93</TermId>
        </TermInfo>
        <TermInfo xmlns="http://schemas.microsoft.com/office/infopath/2007/PartnerControls">
          <TermName xmlns="http://schemas.microsoft.com/office/infopath/2007/PartnerControls">manufacturing</TermName>
          <TermId xmlns="http://schemas.microsoft.com/office/infopath/2007/PartnerControls">47981908-e42d-4c8a-b361-a63a3e221a38</TermId>
        </TermInfo>
        <TermInfo xmlns="http://schemas.microsoft.com/office/infopath/2007/PartnerControls">
          <TermName xmlns="http://schemas.microsoft.com/office/infopath/2007/PartnerControls">CASRN 156-60-07</TermName>
          <TermId xmlns="http://schemas.microsoft.com/office/infopath/2007/PartnerControls">f35e5e0c-9798-492f-b7d7-163c7f879d59</TermId>
        </TermInfo>
        <TermInfo xmlns="http://schemas.microsoft.com/office/infopath/2007/PartnerControls">
          <TermName xmlns="http://schemas.microsoft.com/office/infopath/2007/PartnerControls">Tetrachloroethylene</TermName>
          <TermId xmlns="http://schemas.microsoft.com/office/infopath/2007/PartnerControls">5e3b0975-bf79-4b0c-8fb8-1d0f2ba85624</TermId>
        </TermInfo>
        <TermInfo xmlns="http://schemas.microsoft.com/office/infopath/2007/PartnerControls">
          <TermName xmlns="http://schemas.microsoft.com/office/infopath/2007/PartnerControls">trichloroethylene</TermName>
          <TermId xmlns="http://schemas.microsoft.com/office/infopath/2007/PartnerControls">11111111-1111-1111-1111-111111111111</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2024-10-10T17:52:20+00:00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020E3EF-74BA-4463-90F1-A77FB1B4D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4B2390-5A5D-4804-B87F-EC9689EF8134}">
  <ds:schemaRefs>
    <ds:schemaRef ds:uri="http://purl.org/dc/dcmitype/"/>
    <ds:schemaRef ds:uri="http://schemas.microsoft.com/office/2006/documentManagement/types"/>
    <ds:schemaRef ds:uri="fecc2597-e8fd-4279-ac06-bd7c891938be"/>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purl.org/dc/terms/"/>
    <ds:schemaRef ds:uri="ead8da0f-3542-4e50-96c8-f1f698624e86"/>
    <ds:schemaRef ds:uri="http://www.w3.org/XML/1998/namespace"/>
    <ds:schemaRef ds:uri="http://schemas.microsoft.com/sharepoint/v3/fields"/>
    <ds:schemaRef ds:uri="http://schemas.microsoft.com/sharepoint.v3"/>
    <ds:schemaRef ds:uri="4ffa91fb-a0ff-4ac5-b2db-65c790d184a4"/>
    <ds:schemaRef ds:uri="http://schemas.microsoft.com/sharepoint/v3"/>
  </ds:schemaRefs>
</ds:datastoreItem>
</file>

<file path=customXml/itemProps3.xml><?xml version="1.0" encoding="utf-8"?>
<ds:datastoreItem xmlns:ds="http://schemas.openxmlformats.org/officeDocument/2006/customXml" ds:itemID="{D225C311-61C4-41A8-9EF6-F9D7253B66A8}">
  <ds:schemaRefs>
    <ds:schemaRef ds:uri="http://schemas.microsoft.com/sharepoint/v3/contenttype/forms"/>
  </ds:schemaRefs>
</ds:datastoreItem>
</file>

<file path=customXml/itemProps4.xml><?xml version="1.0" encoding="utf-8"?>
<ds:datastoreItem xmlns:ds="http://schemas.openxmlformats.org/officeDocument/2006/customXml" ds:itemID="{DA923F07-8484-49F7-990A-8705282C667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33</vt:i4>
      </vt:variant>
    </vt:vector>
  </HeadingPairs>
  <TitlesOfParts>
    <vt:vector size="67" baseType="lpstr">
      <vt:lpstr>Cover Page</vt:lpstr>
      <vt:lpstr>Information</vt:lpstr>
      <vt:lpstr>Calculation Summary</vt:lpstr>
      <vt:lpstr>1,2-DCA_product</vt:lpstr>
      <vt:lpstr>1,2-DCA_max</vt:lpstr>
      <vt:lpstr>1,1-DCA_test order_OP</vt:lpstr>
      <vt:lpstr>1,1-DCA_test order_max_OP</vt:lpstr>
      <vt:lpstr>1,1-DCA_test order_MT</vt:lpstr>
      <vt:lpstr>1,1-DCA_test order_max_MT</vt:lpstr>
      <vt:lpstr>1,1-DCA_test order_LGT</vt:lpstr>
      <vt:lpstr>1,1-DCA_test order_max_LGT</vt:lpstr>
      <vt:lpstr>1,1-DCA_test order_LBT</vt:lpstr>
      <vt:lpstr>1,1-DCA_test order_max_LBT</vt:lpstr>
      <vt:lpstr>TCE_operator</vt:lpstr>
      <vt:lpstr>TCE_maint</vt:lpstr>
      <vt:lpstr>TCE_log</vt:lpstr>
      <vt:lpstr>TCE_lab</vt:lpstr>
      <vt:lpstr>PCE_product</vt:lpstr>
      <vt:lpstr>PCE_max</vt:lpstr>
      <vt:lpstr>MC_product</vt:lpstr>
      <vt:lpstr>MC_max</vt:lpstr>
      <vt:lpstr>CTC_operator</vt:lpstr>
      <vt:lpstr>CTC_lab</vt:lpstr>
      <vt:lpstr>CTC_log</vt:lpstr>
      <vt:lpstr>CTC_maint</vt:lpstr>
      <vt:lpstr>Inhalation Exposures</vt:lpstr>
      <vt:lpstr>Dermal Exposures</vt:lpstr>
      <vt:lpstr>Health Data</vt:lpstr>
      <vt:lpstr>Byproduct Conc_Inhalation</vt:lpstr>
      <vt:lpstr>Byproduct Conc_Dermal</vt:lpstr>
      <vt:lpstr>Mfg_1,2-DCA Test Order Data</vt:lpstr>
      <vt:lpstr>List Values</vt:lpstr>
      <vt:lpstr>Exposure Factors</vt:lpstr>
      <vt:lpstr>Constants</vt:lpstr>
      <vt:lpstr>AT</vt:lpstr>
      <vt:lpstr>AT_AC</vt:lpstr>
      <vt:lpstr>AT_ADC_high</vt:lpstr>
      <vt:lpstr>AT_ADC_mid</vt:lpstr>
      <vt:lpstr>AT_ADC_ST</vt:lpstr>
      <vt:lpstr>AT_CRD_high</vt:lpstr>
      <vt:lpstr>AT_CRD_mid</vt:lpstr>
      <vt:lpstr>AT_CRD_ST</vt:lpstr>
      <vt:lpstr>AT_LADC</vt:lpstr>
      <vt:lpstr>AT_LCRD</vt:lpstr>
      <vt:lpstr>Breathing_Ratio</vt:lpstr>
      <vt:lpstr>BW_default</vt:lpstr>
      <vt:lpstr>BW_women</vt:lpstr>
      <vt:lpstr>Conf_HIGH_LB</vt:lpstr>
      <vt:lpstr>Conf_HIGH_UB</vt:lpstr>
      <vt:lpstr>Conf_LOW_LB</vt:lpstr>
      <vt:lpstr>Conf_LOW_UB</vt:lpstr>
      <vt:lpstr>Conf_MED_LB</vt:lpstr>
      <vt:lpstr>Conf_MED_UB</vt:lpstr>
      <vt:lpstr>ED_8</vt:lpstr>
      <vt:lpstr>EF</vt:lpstr>
      <vt:lpstr>EF_ST</vt:lpstr>
      <vt:lpstr>LT</vt:lpstr>
      <vt:lpstr>MW</vt:lpstr>
      <vt:lpstr>VP_11DCA</vt:lpstr>
      <vt:lpstr>VP_12DCA</vt:lpstr>
      <vt:lpstr>VP12DCA</vt:lpstr>
      <vt:lpstr>WY_CT_default</vt:lpstr>
      <vt:lpstr>WY_CT_women</vt:lpstr>
      <vt:lpstr>WY_HE_default</vt:lpstr>
      <vt:lpstr>WY_HE_women</vt:lpstr>
      <vt:lpstr>WY_high</vt:lpstr>
      <vt:lpstr>WY_mid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Byproducts Risk Calculator for Occupational Exposure for 1,2-Dichloroethane</dc:title>
  <dc:subject>Risk Evaluation for 1,2-Dichloroethane</dc:subject>
  <dc:creator>US EPA</dc:creator>
  <cp:keywords>12Dichloroethane ; CASRN 107-06-2 ; Byproducts ; manufacturing ; risk calculator ; 11Dichloroethane ; CASRN 75-34-3 ; trichloroethylene ; CASRN 79-01-6 ; Tetrachloroethylene ; CASRN 127-18-4 ; Carbon Tetrachloride ; CASRN 56-23-5 ; methylene chloride ; CASRN 75-09-2 ; 112trichloroethane ; CASRN 79-00-5 ; trans12dichloroethane ; CASRN 156-60-07</cp:keywords>
  <dc:description/>
  <cp:lastModifiedBy>Stanfield, Kelley</cp:lastModifiedBy>
  <cp:revision/>
  <dcterms:created xsi:type="dcterms:W3CDTF">2024-04-18T17:43:06Z</dcterms:created>
  <dcterms:modified xsi:type="dcterms:W3CDTF">2026-04-30T17:34:07Z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MediaServiceImageTags">
    <vt:lpwstr/>
  </property>
  <property fmtid="{D5CDD505-2E9C-101B-9397-08002B2CF9AE}" pid="4" name="TaxKeyword">
    <vt:lpwstr>1914;#trans12dichloroethane|60e4e04c-d3b1-46e2-be88-71c9357ef1d9;#1913;#CASRN 79-00-5|b56e66f1-a830-4a26-a58e-5ed7f9756a87;#1912;#112trichloroethane|b16dd643-a817-40a1-b5b6-140d19842d6c;#1911;#CASRN 75-09-2|d135f697-0505-445d-895c-bcc434be27ba;#1910;#CASRN 56-23-5|6ee86646-fcda-4837-ab99-7bf810e6ca55;#1909;#Carbon Tetrachloride|752a4454-40cf-4a71-8e53-01e10ded92a5;#1908;#CASRN 127-18-4|edfae95b-85f5-40c4-a383-88e919601952;#1907;#CASRN 79-01-6|339fc59a-0384-4b9c-aa44-02d7f3ae2d9b;#1647;#CASRN 75-34-3|68eb818b-f6c9-42ec-97d1-d101eff5e078;#1905;#Byproducts|77c9c981-a712-4230-a0e1-6cca46d960dc;#1645;#11Dichloroethane|f0553ca5-25fa-4f60-8a15-ba2924ee9f47;#1198;#risk calculator|8af20125-90c4-4af3-92eb-7f5682895c4d;#1673;#CASRN 107-06-2|f01d8752-e9a4-4691-bb25-53c3aaed59fd;#1188;#methylene chloride|595245b4-e890-4bac-81f1-ecee2a664b7b;#1671;#12Dichloroethane|b26867e0-e188-4d8d-b848-2e1a306b3e93;#745;#manufacturing|47981908-e42d-4c8a-b361-a63a3e221a38;#1928;#CASRN 156-60-07|f35e5e0c-9798-492f-b7d7-163c7f879d59;#2038;#Tetrachloroethylene|5e3b0975-bf79-4b0c-8fb8-1d0f2ba85624;#1258;#trichloroethylene|11111111-1111-1111-1111-111111111111</vt:lpwstr>
  </property>
  <property fmtid="{D5CDD505-2E9C-101B-9397-08002B2CF9AE}" pid="5" name="EPA Subject">
    <vt:lpwstr/>
  </property>
  <property fmtid="{D5CDD505-2E9C-101B-9397-08002B2CF9AE}" pid="6" name="Document Type">
    <vt:lpwstr/>
  </property>
  <property fmtid="{D5CDD505-2E9C-101B-9397-08002B2CF9AE}" pid="7" name="Document_x0020_Type">
    <vt:lpwstr/>
  </property>
  <property fmtid="{D5CDD505-2E9C-101B-9397-08002B2CF9AE}" pid="8" name="EPA_x0020_Subject">
    <vt:lpwstr/>
  </property>
</Properties>
</file>