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usepa-my.sharepoint.com/personal/stanfield_kelley_epa_gov/Documents/Desktop/12DCA FINAL DOCKET/"/>
    </mc:Choice>
  </mc:AlternateContent>
  <xr:revisionPtr revIDLastSave="36" documentId="8_{2ECD12C3-F1E6-4042-AD69-040E05A24EBC}" xr6:coauthVersionLast="47" xr6:coauthVersionMax="47" xr10:uidLastSave="{0BE06ACE-CDA9-4D9E-9B11-926C8C9D410C}"/>
  <bookViews>
    <workbookView xWindow="-120" yWindow="-120" windowWidth="29040" windowHeight="15720" xr2:uid="{00000000-000D-0000-FFFF-FFFF00000000}"/>
  </bookViews>
  <sheets>
    <sheet name="Cover Page" sheetId="10" r:id="rId1"/>
    <sheet name="Byproduct_Oral_Dermal" sheetId="2" r:id="rId2"/>
    <sheet name="Exposure Inputs" sheetId="9" r:id="rId3"/>
    <sheet name="Exposure Equations" sheetId="8" r:id="rId4"/>
  </sheets>
  <definedNames>
    <definedName name="_2017NEI_Nonpoint_TSCA_Chem_List">#REF!</definedName>
    <definedName name="_2017NEI_tsca_chemicals_wSCCdetail_Query">#REF!</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localSheetId="0" hidden="1">-1</definedName>
    <definedName name="_AtRisk_SimSetting_MultipleCPUCount" hidden="1">8</definedName>
    <definedName name="_AtRisk_SimSetting_MultipleCPUManualCount" hidden="1">8</definedName>
    <definedName name="_AtRisk_SimSetting_MultipleCPUMode" localSheetId="0" hidden="1">1</definedName>
    <definedName name="_AtRisk_SimSetting_MultipleCPUMode" hidden="1">2</definedName>
    <definedName name="_AtRisk_SimSetting_MultipleCPUModeV8" localSheetId="0" hidden="1">1</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T" localSheetId="0">#REF!</definedName>
    <definedName name="AT">#REF!</definedName>
    <definedName name="AT_50th_non_cancer" localSheetId="0">#REF!</definedName>
    <definedName name="AT_50th_non_cancer">#REF!</definedName>
    <definedName name="AT_50th_non_cancer_DC" localSheetId="0">#REF!</definedName>
    <definedName name="AT_50th_non_cancer_DC">#REF!</definedName>
    <definedName name="AT_95th_non_cancer" localSheetId="0">#REF!</definedName>
    <definedName name="AT_95th_non_cancer">#REF!</definedName>
    <definedName name="AT_95th_non_cancer_DC" localSheetId="0">#REF!</definedName>
    <definedName name="AT_95th_non_cancer_DC">#REF!</definedName>
    <definedName name="AT_AC" localSheetId="0">#REF!</definedName>
    <definedName name="AT_AC">#REF!</definedName>
    <definedName name="AT_AC_DC" localSheetId="0">#REF!</definedName>
    <definedName name="AT_AC_DC">#REF!</definedName>
    <definedName name="AT_ADC_high" localSheetId="0">#REF!</definedName>
    <definedName name="AT_ADC_high">#REF!</definedName>
    <definedName name="AT_ADC_mid" localSheetId="0">#REF!</definedName>
    <definedName name="AT_ADC_mid">#REF!</definedName>
    <definedName name="AT_cancer" localSheetId="0">#REF!</definedName>
    <definedName name="AT_cancer">#REF!</definedName>
    <definedName name="AT_cancer_DC" localSheetId="0">#REF!</definedName>
    <definedName name="AT_cancer_DC">#REF!</definedName>
    <definedName name="AT_LADC" localSheetId="0">#REF!</definedName>
    <definedName name="AT_LADC">#REF!</definedName>
    <definedName name="AWD" localSheetId="0">#REF!</definedName>
    <definedName name="AWD">#REF!</definedName>
    <definedName name="AWD_DC_50th" localSheetId="0">#REF!</definedName>
    <definedName name="AWD_DC_50th">#REF!</definedName>
    <definedName name="AWD_DC_95th" localSheetId="0">#REF!</definedName>
    <definedName name="AWD_DC_95th">#REF!</definedName>
    <definedName name="CASRN">#REF!</definedName>
    <definedName name="ED" localSheetId="0">#REF!</definedName>
    <definedName name="ED">#REF!</definedName>
    <definedName name="ED_AC" localSheetId="0">#REF!</definedName>
    <definedName name="ED_AC">#REF!</definedName>
    <definedName name="ED_AC_DC" localSheetId="0">#REF!</definedName>
    <definedName name="ED_AC_DC">#REF!</definedName>
    <definedName name="ED_chronic" localSheetId="0">#REF!</definedName>
    <definedName name="ED_chronic">#REF!</definedName>
    <definedName name="ED_chronic_DC" localSheetId="0">#REF!</definedName>
    <definedName name="ED_chronic_DC">#REF!</definedName>
    <definedName name="EF" localSheetId="0">#REF!</definedName>
    <definedName name="EF">#REF!</definedName>
    <definedName name="EG">#REF!</definedName>
    <definedName name="Pal_Workbook_GUID" hidden="1">"SK39RLEDQA2L46YW8H5SUKN3"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localSheetId="0" hidden="1">TRUE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localSheetId="0" hidden="1">TRUE</definedName>
    <definedName name="RiskUseMultipleCPUs" hidden="1">FALSE</definedName>
    <definedName name="what">#REF!</definedName>
    <definedName name="WY_50th" localSheetId="0">#REF!</definedName>
    <definedName name="WY_50th">#REF!</definedName>
    <definedName name="WY_50th_DC" localSheetId="0">#REF!</definedName>
    <definedName name="WY_50th_DC">#REF!</definedName>
    <definedName name="WY_95th" localSheetId="0">#REF!</definedName>
    <definedName name="WY_95th">#REF!</definedName>
    <definedName name="WY_95th_DC" localSheetId="0">#REF!</definedName>
    <definedName name="WY_95th_DC">#REF!</definedName>
    <definedName name="WY_high" localSheetId="0">#REF!</definedName>
    <definedName name="WY_high">#REF!</definedName>
    <definedName name="WY_mid" localSheetId="0">#REF!</definedName>
    <definedName name="WY_mi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2" l="1"/>
  <c r="J15" i="2"/>
  <c r="I21" i="2"/>
  <c r="I20" i="2"/>
  <c r="I19" i="2"/>
  <c r="I18" i="2"/>
  <c r="I17" i="2"/>
  <c r="I16" i="2"/>
  <c r="H21" i="2"/>
  <c r="H20" i="2"/>
  <c r="H19" i="2"/>
  <c r="H18" i="2"/>
  <c r="H17" i="2"/>
  <c r="H16" i="2"/>
  <c r="G20" i="2"/>
  <c r="G21" i="2"/>
  <c r="G19" i="2"/>
  <c r="E21" i="2"/>
  <c r="E20" i="2"/>
  <c r="E19" i="2"/>
  <c r="E18" i="2"/>
  <c r="F16" i="2"/>
  <c r="D16" i="2"/>
  <c r="G16" i="2"/>
  <c r="AD11" i="2"/>
  <c r="AE11" i="2" s="1"/>
  <c r="AD10" i="2"/>
  <c r="AE10" i="2" s="1"/>
  <c r="AD9" i="2"/>
  <c r="AE9" i="2" s="1"/>
  <c r="AD8" i="2"/>
  <c r="AE8" i="2" s="1"/>
  <c r="AD7" i="2"/>
  <c r="AE7" i="2" s="1"/>
  <c r="AD6" i="2"/>
  <c r="AE6" i="2" s="1"/>
  <c r="E15" i="2" l="1"/>
  <c r="Q6" i="2"/>
  <c r="P6" i="2"/>
  <c r="AC6" i="2"/>
  <c r="AB6" i="2"/>
  <c r="AD2" i="2"/>
  <c r="AA2" i="2"/>
  <c r="AA11" i="2" s="1"/>
  <c r="AC11" i="2" s="1"/>
  <c r="Z2" i="2"/>
  <c r="Z11" i="2" s="1"/>
  <c r="AB11" i="2" s="1"/>
  <c r="Y2" i="2"/>
  <c r="Y9" i="2" s="1"/>
  <c r="X2" i="2"/>
  <c r="X10" i="2" s="1"/>
  <c r="K2" i="2"/>
  <c r="K7" i="2" s="1"/>
  <c r="L2" i="2"/>
  <c r="L7" i="2" s="1"/>
  <c r="N2" i="2"/>
  <c r="N11" i="2" s="1"/>
  <c r="P11" i="2" s="1"/>
  <c r="O2" i="2"/>
  <c r="O7" i="2" s="1"/>
  <c r="Q7" i="2" s="1"/>
  <c r="G18" i="2" l="1"/>
  <c r="E17" i="2"/>
  <c r="G17" i="2" s="1"/>
  <c r="X11" i="2"/>
  <c r="X7" i="2"/>
  <c r="X8" i="2"/>
  <c r="X9" i="2"/>
  <c r="O8" i="2"/>
  <c r="Q8" i="2" s="1"/>
  <c r="Y10" i="2"/>
  <c r="Y11" i="2"/>
  <c r="Z7" i="2"/>
  <c r="AB7" i="2" s="1"/>
  <c r="Z8" i="2"/>
  <c r="AB8" i="2" s="1"/>
  <c r="Z9" i="2"/>
  <c r="AB9" i="2" s="1"/>
  <c r="Z10" i="2"/>
  <c r="AB10" i="2" s="1"/>
  <c r="AA7" i="2"/>
  <c r="AC7" i="2" s="1"/>
  <c r="AA8" i="2"/>
  <c r="AC8" i="2" s="1"/>
  <c r="AA9" i="2"/>
  <c r="AC9" i="2" s="1"/>
  <c r="Y7" i="2"/>
  <c r="Y8" i="2"/>
  <c r="AA10" i="2"/>
  <c r="AC10" i="2" s="1"/>
  <c r="L9" i="2"/>
  <c r="O11" i="2"/>
  <c r="Q11" i="2" s="1"/>
  <c r="N8" i="2"/>
  <c r="P8" i="2" s="1"/>
  <c r="K8" i="2"/>
  <c r="K9" i="2"/>
  <c r="K10" i="2"/>
  <c r="K11" i="2"/>
  <c r="O9" i="2"/>
  <c r="Q9" i="2" s="1"/>
  <c r="O10" i="2"/>
  <c r="Q10" i="2" s="1"/>
  <c r="L8" i="2"/>
  <c r="L10" i="2"/>
  <c r="L11" i="2"/>
  <c r="N9" i="2"/>
  <c r="P9" i="2" s="1"/>
  <c r="N10" i="2"/>
  <c r="P10" i="2" s="1"/>
  <c r="N7" i="2"/>
  <c r="W2" i="2" l="1"/>
  <c r="V2" i="2"/>
  <c r="V7" i="2" s="1"/>
  <c r="U2" i="2"/>
  <c r="T2" i="2"/>
  <c r="S2" i="2"/>
  <c r="R2" i="2"/>
  <c r="G2" i="2"/>
  <c r="S11" i="2" l="1"/>
  <c r="S10" i="2"/>
  <c r="S9" i="2"/>
  <c r="S8" i="2"/>
  <c r="S7" i="2"/>
  <c r="U10" i="2"/>
  <c r="U9" i="2"/>
  <c r="U8" i="2"/>
  <c r="U7" i="2"/>
  <c r="U11" i="2"/>
  <c r="R7" i="2"/>
  <c r="R10" i="2"/>
  <c r="R9" i="2"/>
  <c r="R11" i="2"/>
  <c r="R8" i="2"/>
  <c r="T10" i="2"/>
  <c r="T8" i="2"/>
  <c r="T9" i="2"/>
  <c r="T7" i="2"/>
  <c r="T11" i="2"/>
  <c r="V10" i="2"/>
  <c r="V8" i="2"/>
  <c r="V9" i="2"/>
  <c r="V11" i="2"/>
  <c r="G13" i="2" s="1"/>
  <c r="W8" i="2"/>
  <c r="W7" i="2"/>
  <c r="W11" i="2"/>
  <c r="W10" i="2"/>
  <c r="W9" i="2"/>
  <c r="E52" i="9" l="1"/>
  <c r="D52" i="9"/>
  <c r="C52" i="9"/>
  <c r="E51" i="9"/>
  <c r="D51" i="9"/>
  <c r="E42" i="9"/>
  <c r="D42" i="9"/>
  <c r="C42" i="9"/>
  <c r="E40" i="9"/>
  <c r="E39" i="9"/>
  <c r="C39" i="9"/>
  <c r="C40" i="9" s="1"/>
  <c r="D36" i="9"/>
  <c r="D39" i="9" s="1"/>
  <c r="D40" i="9" s="1"/>
  <c r="C36" i="9"/>
  <c r="E28" i="9"/>
  <c r="C28" i="9"/>
  <c r="F27" i="9"/>
  <c r="F28" i="9" s="1"/>
  <c r="E27" i="9"/>
  <c r="D27" i="9"/>
  <c r="D28" i="9" s="1"/>
  <c r="H25" i="9"/>
  <c r="G25" i="9"/>
  <c r="F25" i="9"/>
  <c r="E25" i="9"/>
  <c r="D25" i="9"/>
  <c r="C25" i="9"/>
  <c r="H24" i="9"/>
  <c r="G24" i="9"/>
  <c r="F24" i="9"/>
  <c r="E24" i="9"/>
  <c r="D24" i="9"/>
  <c r="C24" i="9"/>
  <c r="F22" i="9"/>
  <c r="E22" i="9"/>
  <c r="D22" i="9"/>
  <c r="J18" i="9"/>
  <c r="I18" i="9"/>
  <c r="H13" i="9"/>
  <c r="F13" i="9"/>
  <c r="E13" i="9"/>
  <c r="D13" i="9"/>
  <c r="C13" i="9"/>
  <c r="H12" i="9"/>
  <c r="G12" i="9"/>
  <c r="G13" i="9" s="1"/>
  <c r="F12" i="9"/>
  <c r="E12" i="9"/>
  <c r="D12" i="9"/>
  <c r="G10" i="9"/>
  <c r="F10" i="9"/>
  <c r="E10" i="9"/>
  <c r="D10" i="9"/>
  <c r="C10" i="9"/>
  <c r="H9" i="9"/>
  <c r="G9" i="9"/>
  <c r="F9" i="9"/>
  <c r="E9" i="9"/>
  <c r="H8" i="9"/>
  <c r="H10" i="9" s="1"/>
  <c r="D8" i="9"/>
  <c r="D9" i="9" s="1"/>
  <c r="H7" i="9"/>
  <c r="C7" i="9"/>
  <c r="H6" i="9"/>
  <c r="C6" i="9"/>
  <c r="C9" i="9" s="1"/>
  <c r="Q97" i="8"/>
  <c r="P97" i="8"/>
  <c r="Q96" i="8"/>
  <c r="P96" i="8"/>
  <c r="M81" i="8"/>
  <c r="L81" i="8"/>
  <c r="Q78" i="8"/>
  <c r="P78" i="8"/>
  <c r="Q77" i="8"/>
  <c r="P77" i="8"/>
  <c r="Q10" i="8"/>
  <c r="P10" i="8"/>
  <c r="Q9" i="8"/>
  <c r="P9" i="8"/>
  <c r="Q8" i="8"/>
  <c r="P8" i="8"/>
  <c r="Q7" i="8"/>
  <c r="P7" i="8"/>
</calcChain>
</file>

<file path=xl/sharedStrings.xml><?xml version="1.0" encoding="utf-8"?>
<sst xmlns="http://schemas.openxmlformats.org/spreadsheetml/2006/main" count="609" uniqueCount="278">
  <si>
    <t>CASRN 107-06-2</t>
  </si>
  <si>
    <t>Total</t>
  </si>
  <si>
    <t>Total Exposures</t>
  </si>
  <si>
    <t>IRIS (2010)</t>
  </si>
  <si>
    <t>Chemical/ Byproduct</t>
  </si>
  <si>
    <t>% in Non-Purified Product Stream</t>
  </si>
  <si>
    <t>Fish Ingestion (gen. pop)</t>
  </si>
  <si>
    <t>Fish Ingestion (subsistence)</t>
  </si>
  <si>
    <t>Swimming Oral (Adult)</t>
  </si>
  <si>
    <t>Swimming Oral (Youth: 11-15)</t>
  </si>
  <si>
    <t>Swimming Dermal</t>
  </si>
  <si>
    <t>Drinking Water (Adult)</t>
  </si>
  <si>
    <t>Drinking Water (Infant)</t>
  </si>
  <si>
    <t>Chemical Concentration in Receiving Water (µg/L)</t>
  </si>
  <si>
    <t>RfD        (mg/kg-day)</t>
  </si>
  <si>
    <t>Oral Slope Factor (cancer)</t>
  </si>
  <si>
    <t>Oral Acute POD      (mg/kg-day)</t>
  </si>
  <si>
    <t>Oral Chronic POD</t>
  </si>
  <si>
    <t>ADR            (mg/kg-day)</t>
  </si>
  <si>
    <t xml:space="preserve">ADD            (mg/kg-day) </t>
  </si>
  <si>
    <t>ADR               (mg/kg-day)</t>
  </si>
  <si>
    <t>ADD                (mg/kg-day)</t>
  </si>
  <si>
    <t>Acute MOE</t>
  </si>
  <si>
    <t>Chronic MOE</t>
  </si>
  <si>
    <t>ADD          (mg/kg-day)</t>
  </si>
  <si>
    <t>ADR        (mg/kg-day)</t>
  </si>
  <si>
    <t>ADD                    (mg/kg-day)</t>
  </si>
  <si>
    <t>ADR (mg/kg-day)</t>
  </si>
  <si>
    <t>ADD (mg/kg-day)</t>
  </si>
  <si>
    <t>LADD</t>
  </si>
  <si>
    <t>Cancer</t>
  </si>
  <si>
    <t>1,2-Dichloroethane</t>
  </si>
  <si>
    <t>1,2-Dichloroethane (based on Eagle 2 releases - highest manufacturing conc)</t>
  </si>
  <si>
    <t>1,1-Dichloroethane</t>
  </si>
  <si>
    <t>Trichloroethylene</t>
  </si>
  <si>
    <t>Perchloroethylene</t>
  </si>
  <si>
    <t xml:space="preserve">Methylene chloride   </t>
  </si>
  <si>
    <t>Carbon tetrachloride</t>
  </si>
  <si>
    <t>CCl4 chronic RfD</t>
  </si>
  <si>
    <t>&gt;1,000 (no risk)</t>
  </si>
  <si>
    <t>Drinking Water Exposure Inputs</t>
  </si>
  <si>
    <t>Input</t>
  </si>
  <si>
    <t>Description (units)</t>
  </si>
  <si>
    <t>Adult
(≥ 21 yrs)</t>
  </si>
  <si>
    <t>Infant (birth-&lt; 1 year)</t>
  </si>
  <si>
    <t>Youth
(16-20 yrs)</t>
  </si>
  <si>
    <t>Youth
(11-15 yrs)</t>
  </si>
  <si>
    <t>Child
(6-10 yrs)</t>
  </si>
  <si>
    <t>Toddler
(1-5 yrs)</t>
  </si>
  <si>
    <t>Notes</t>
  </si>
  <si>
    <t>HERO Link</t>
  </si>
  <si>
    <r>
      <t>IR</t>
    </r>
    <r>
      <rPr>
        <vertAlign val="subscript"/>
        <sz val="11"/>
        <color theme="1"/>
        <rFont val="Calibri"/>
        <family val="2"/>
        <scheme val="minor"/>
      </rPr>
      <t>dw-a</t>
    </r>
  </si>
  <si>
    <t>Drinking water intake rate (L/day) - acute</t>
  </si>
  <si>
    <t>U.S. EPA Exposure Factors Handbook Chapter 3 (2019), Table 3-17, Consumer 95th percentile; weighted averages for adults (years 21 to 49 and 50+), for toddlers (years 1-2, 2-3, and 3-&lt;6).</t>
  </si>
  <si>
    <t>U.S. EPA, 2019, 7267482</t>
  </si>
  <si>
    <r>
      <t>IR</t>
    </r>
    <r>
      <rPr>
        <vertAlign val="subscript"/>
        <sz val="11"/>
        <color theme="1"/>
        <rFont val="Calibri"/>
        <family val="2"/>
        <scheme val="minor"/>
      </rPr>
      <t>dw-c</t>
    </r>
  </si>
  <si>
    <t>Drinking water intake rate (L/day) - chronic</t>
  </si>
  <si>
    <t xml:space="preserve">U.S. EPA Exposure Factors Handbook Chapter 3 (2019), Table 3-9 per capita mean values; weighted averages for adults (years 21 to 49 and 50+), for toddlers (years 1-2, 2-3, and 3-&lt;6). </t>
  </si>
  <si>
    <t>BW</t>
  </si>
  <si>
    <t>Body weight (kg)</t>
  </si>
  <si>
    <t xml:space="preserve">U.S. EPA Exposure Factors Handbook Chapter 8 (2011), Table 8-1 mean body weight; weighted average for infants (months 0-&lt;1, 1-&lt;3, 3-&lt;6, 6-12), for toddlers (years 1-2, 2-3, and 3-&lt;6). </t>
  </si>
  <si>
    <t>U.S. EPA, 2011, 7485096</t>
  </si>
  <si>
    <r>
      <t>DW/BW</t>
    </r>
    <r>
      <rPr>
        <vertAlign val="subscript"/>
        <sz val="11"/>
        <color theme="1"/>
        <rFont val="Calibri"/>
        <family val="2"/>
        <scheme val="minor"/>
      </rPr>
      <t>acute</t>
    </r>
  </si>
  <si>
    <t>Drinking water intake/body weight (L/kg-day)</t>
  </si>
  <si>
    <t>Calculation: ingestion rate / body weight</t>
  </si>
  <si>
    <r>
      <t>DW/BW</t>
    </r>
    <r>
      <rPr>
        <vertAlign val="subscript"/>
        <sz val="11"/>
        <color theme="1"/>
        <rFont val="Calibri"/>
        <family val="2"/>
        <scheme val="minor"/>
      </rPr>
      <t>chronic</t>
    </r>
  </si>
  <si>
    <t>AT</t>
  </si>
  <si>
    <r>
      <t>Averaging time (days for ADR</t>
    </r>
    <r>
      <rPr>
        <vertAlign val="subscript"/>
        <sz val="11"/>
        <color theme="1"/>
        <rFont val="Calibri"/>
        <family val="2"/>
        <scheme val="minor"/>
      </rPr>
      <t>POT</t>
    </r>
    <r>
      <rPr>
        <sz val="11"/>
        <color theme="1"/>
        <rFont val="Calibri"/>
        <family val="2"/>
        <scheme val="minor"/>
      </rPr>
      <t>)</t>
    </r>
  </si>
  <si>
    <t>All 1 day, per E-FAST methodology (2014)</t>
  </si>
  <si>
    <t>U.S. EPA, 2014, 4565445</t>
  </si>
  <si>
    <t>ED</t>
  </si>
  <si>
    <r>
      <t>Exposure duration (years for ADD, LADC</t>
    </r>
    <r>
      <rPr>
        <vertAlign val="subscript"/>
        <sz val="11"/>
        <color theme="1"/>
        <rFont val="Calibri"/>
        <family val="2"/>
        <scheme val="minor"/>
      </rPr>
      <t>POT</t>
    </r>
    <r>
      <rPr>
        <sz val="11"/>
        <color theme="1"/>
        <rFont val="Calibri"/>
        <family val="2"/>
        <scheme val="minor"/>
      </rPr>
      <t xml:space="preserve"> and LADD</t>
    </r>
    <r>
      <rPr>
        <vertAlign val="subscript"/>
        <sz val="11"/>
        <color theme="1"/>
        <rFont val="Calibri"/>
        <family val="2"/>
        <scheme val="minor"/>
      </rPr>
      <t>POT</t>
    </r>
    <r>
      <rPr>
        <sz val="11"/>
        <color theme="1"/>
        <rFont val="Calibri"/>
        <family val="2"/>
        <scheme val="minor"/>
      </rPr>
      <t xml:space="preserve">) </t>
    </r>
  </si>
  <si>
    <t xml:space="preserve">Number of years in age group, up to the 95th percentile residential occupancy period. U.S. EPA Exposure Factors Handbook Chapter 16 (2011), Table 16-5. </t>
  </si>
  <si>
    <t>Averaging time (years for ADD)</t>
  </si>
  <si>
    <r>
      <t>Averaging time (years for LADD</t>
    </r>
    <r>
      <rPr>
        <vertAlign val="subscript"/>
        <sz val="11"/>
        <color theme="1"/>
        <rFont val="Calibri"/>
        <family val="2"/>
        <scheme val="minor"/>
      </rPr>
      <t>POT</t>
    </r>
    <r>
      <rPr>
        <sz val="11"/>
        <color theme="1"/>
        <rFont val="Calibri"/>
        <family val="2"/>
        <scheme val="minor"/>
      </rPr>
      <t xml:space="preserve"> and LADC</t>
    </r>
    <r>
      <rPr>
        <vertAlign val="subscript"/>
        <sz val="11"/>
        <color theme="1"/>
        <rFont val="Calibri"/>
        <family val="2"/>
        <scheme val="minor"/>
      </rPr>
      <t>POT</t>
    </r>
    <r>
      <rPr>
        <sz val="11"/>
        <color theme="1"/>
        <rFont val="Calibri"/>
        <family val="2"/>
        <scheme val="minor"/>
      </rPr>
      <t xml:space="preserve">) </t>
    </r>
  </si>
  <si>
    <t xml:space="preserve">U.S. EPA Exposure Factors Handbook Chapter 18 (2011), Table 18-1. </t>
  </si>
  <si>
    <t>CF1</t>
  </si>
  <si>
    <t>Conversion factor (mg/µg)</t>
  </si>
  <si>
    <t>CF2</t>
  </si>
  <si>
    <t>Conversion factor (days/year)</t>
  </si>
  <si>
    <t>DWT</t>
  </si>
  <si>
    <t>Drinking water treatment removal (%)</t>
  </si>
  <si>
    <t>Fish Ingestion Exposure Inputs - EFAST</t>
  </si>
  <si>
    <t>Subsistence</t>
  </si>
  <si>
    <t>90th percentile</t>
  </si>
  <si>
    <t>Adult
(16 to &lt;70 yrs)</t>
  </si>
  <si>
    <t>Young Toddler     (1-&lt; 2 year)</t>
  </si>
  <si>
    <t>Teen
(11-&lt;16 yrs)</t>
  </si>
  <si>
    <t>Child
(6- &lt; 11 yrs)</t>
  </si>
  <si>
    <t>Small Child
(3- &lt; 6 yrs)</t>
  </si>
  <si>
    <t>Toddler
(2- &lt; 3 yrs)</t>
  </si>
  <si>
    <t>Fish ingestion rate (g/day) - acute/ 90th percentile</t>
  </si>
  <si>
    <t>Cited to 2011 EFH table 10-7  (Found "279 g/day" in Table 10-35, Consumer only intake, 95th percentile, 18 and older); New chem: acute=279g/day; chronic=7.5g/day  (SEE TCEP TABLE BELOW FOR REVISED VALUES)</t>
  </si>
  <si>
    <t>Fish ingestion rate (g/day) - chronic/ 90th percentile</t>
  </si>
  <si>
    <t>Adult value cited to 2011 EFH table 10-31 ("Both sexes, 18 and older, mean"); no chronic data provided for other ages
(Yellow cells: tried scaling adult value by body weight ratio as first approximation. Scaling by acute ingestion rate ratio appears to give lower estimates.)</t>
  </si>
  <si>
    <t>EFAST considers 'small child 3-5 years' and 'infant 1-2 years' rather than toddler; results is the same when they're averaged as the fenceline inputs</t>
  </si>
  <si>
    <r>
      <t>IR/BW</t>
    </r>
    <r>
      <rPr>
        <vertAlign val="subscript"/>
        <sz val="11"/>
        <color theme="1"/>
        <rFont val="Calibri"/>
        <family val="2"/>
        <scheme val="minor"/>
      </rPr>
      <t>acute</t>
    </r>
  </si>
  <si>
    <t>Fish intake/body weight (L/kg-day)</t>
  </si>
  <si>
    <r>
      <t>IR/BW</t>
    </r>
    <r>
      <rPr>
        <vertAlign val="subscript"/>
        <sz val="11"/>
        <color theme="1"/>
        <rFont val="Calibri"/>
        <family val="2"/>
        <scheme val="minor"/>
      </rPr>
      <t>chronic</t>
    </r>
  </si>
  <si>
    <t>BCF</t>
  </si>
  <si>
    <t>Bioconcentration Factor</t>
  </si>
  <si>
    <t>Inputs for Incidental Oral Ingestion Exposure Calculations</t>
  </si>
  <si>
    <r>
      <t>IR</t>
    </r>
    <r>
      <rPr>
        <vertAlign val="subscript"/>
        <sz val="11"/>
        <color theme="1"/>
        <rFont val="Calibri"/>
        <family val="2"/>
        <scheme val="minor"/>
      </rPr>
      <t>inc</t>
    </r>
  </si>
  <si>
    <t>Ingestion rate (L/hr)</t>
  </si>
  <si>
    <t xml:space="preserve">U.S. EPA Exposure Factors Handbook Chapter 3 (2019), Table 3-7, Upper percentile ingestion while swimming. </t>
  </si>
  <si>
    <t xml:space="preserve">U.S. EPA Exposure Factors Handbook Chapter 8 (2011), Table 8-1 mean body weight. </t>
  </si>
  <si>
    <t>ET</t>
  </si>
  <si>
    <t>Exposure time (hrs/day)</t>
  </si>
  <si>
    <t>High-end default short-term duration from U.S. EPA Swimmer Exposure Assessment Model (SWIMODEL), 2015; based on competitive swimmers in the age class.</t>
  </si>
  <si>
    <t>U.S. EPA, 2015, 6811897</t>
  </si>
  <si>
    <r>
      <t>IR</t>
    </r>
    <r>
      <rPr>
        <vertAlign val="subscript"/>
        <sz val="11"/>
        <color theme="1"/>
        <rFont val="Calibri"/>
        <family val="2"/>
        <scheme val="minor"/>
      </rPr>
      <t>inc-daily</t>
    </r>
  </si>
  <si>
    <t>Incidental daily ingestion rate (L/day)</t>
  </si>
  <si>
    <t>Calculation: ingestion rate * exposure time</t>
  </si>
  <si>
    <t xml:space="preserve"> </t>
  </si>
  <si>
    <t>IR/BW</t>
  </si>
  <si>
    <t>Weighted incidental daily ingestion rate (L/kg-day)</t>
  </si>
  <si>
    <t>Exposure duration (years for ADD)</t>
  </si>
  <si>
    <t>Inputs for Incidental Dermal Exposure Calculations</t>
  </si>
  <si>
    <t>SA</t>
  </si>
  <si>
    <r>
      <t>Skin surface area exposed (cm</t>
    </r>
    <r>
      <rPr>
        <vertAlign val="superscript"/>
        <sz val="11"/>
        <color theme="1"/>
        <rFont val="Calibri"/>
        <family val="2"/>
        <scheme val="minor"/>
      </rPr>
      <t>2</t>
    </r>
    <r>
      <rPr>
        <sz val="11"/>
        <color theme="1"/>
        <rFont val="Calibri"/>
        <family val="2"/>
        <scheme val="minor"/>
      </rPr>
      <t>)</t>
    </r>
  </si>
  <si>
    <t xml:space="preserve">U.S. EPA Swimmer Exposure Assessment Model (SWIMODEL), 2015. </t>
  </si>
  <si>
    <t>High-end default short-term duration from U.S. EPA Swimmer Exposure Assessment Model (SWIMODEL), 2015.</t>
  </si>
  <si>
    <t>Number of years in age group, up to the 95th percentile residential occupancy period. U.S. EPA Exposure Factors Handbook Chapter 16 (2011), Table 16-5.</t>
  </si>
  <si>
    <t>Kp</t>
  </si>
  <si>
    <t>Permeability coefficient (cm/hr)</t>
  </si>
  <si>
    <t>CEM estimate aqueous Kp based on log Kow of 1.25 ( should be 1.79); CEM estimated 9.02E-03 Kp based on 98.95 MW and Log Koc of 1.48; instead of CEM estimate, used Superfund Guidance Table B-2 Kp = 6.7E-03 (95%UCL=1.7E-01)</t>
  </si>
  <si>
    <t>Table 2-1 in RE</t>
  </si>
  <si>
    <r>
      <t>Conversion factor (L/cm</t>
    </r>
    <r>
      <rPr>
        <vertAlign val="superscript"/>
        <sz val="11"/>
        <color theme="1"/>
        <rFont val="Calibri"/>
        <family val="2"/>
        <scheme val="minor"/>
      </rPr>
      <t>3</t>
    </r>
    <r>
      <rPr>
        <sz val="11"/>
        <color theme="1"/>
        <rFont val="Calibri"/>
        <family val="2"/>
        <scheme val="minor"/>
      </rPr>
      <t>)</t>
    </r>
  </si>
  <si>
    <t>CF3</t>
  </si>
  <si>
    <t>Risk Calculation and Characterization Inputs</t>
  </si>
  <si>
    <t>Relevant Estimate</t>
  </si>
  <si>
    <t>Organ System</t>
  </si>
  <si>
    <t>Endpoint</t>
  </si>
  <si>
    <t>Gen Pop HED (mg/kg)</t>
  </si>
  <si>
    <t>Benchmark</t>
  </si>
  <si>
    <t>Acute</t>
  </si>
  <si>
    <t>Neurological</t>
  </si>
  <si>
    <t>Decreased visual performance</t>
  </si>
  <si>
    <t>If margin of exposure (MOE) &lt; benchmark, cells containing those values will be shaded</t>
  </si>
  <si>
    <t>Chronic</t>
  </si>
  <si>
    <t>Liver</t>
  </si>
  <si>
    <t>Vacuolization and cell foci</t>
  </si>
  <si>
    <t>Cancer (per unit)</t>
  </si>
  <si>
    <t>Lung and liver tumors</t>
  </si>
  <si>
    <t>If cancer risk &gt; benchmark, cells containing those values will be shaded</t>
  </si>
  <si>
    <t>Oral Slope Factor</t>
  </si>
  <si>
    <t>Ecological Inputs</t>
  </si>
  <si>
    <t>COC 1</t>
  </si>
  <si>
    <t>COC 2</t>
  </si>
  <si>
    <t>COC 3</t>
  </si>
  <si>
    <t>COC</t>
  </si>
  <si>
    <t>µg/L</t>
  </si>
  <si>
    <t>Concentration of concern</t>
  </si>
  <si>
    <t>Age Group</t>
  </si>
  <si>
    <r>
      <t>Mean Body Weight</t>
    </r>
    <r>
      <rPr>
        <vertAlign val="superscript"/>
        <sz val="11"/>
        <color theme="1"/>
        <rFont val="Calibri"/>
        <family val="2"/>
      </rPr>
      <t>a</t>
    </r>
  </si>
  <si>
    <t>Fish Ingestion Rate (g/kg-day)</t>
  </si>
  <si>
    <t>50th Percentile</t>
  </si>
  <si>
    <r>
      <t>Infant (&lt;1 year)</t>
    </r>
    <r>
      <rPr>
        <vertAlign val="superscript"/>
        <sz val="11"/>
        <color theme="1"/>
        <rFont val="Calibri"/>
        <family val="2"/>
      </rPr>
      <t>b</t>
    </r>
  </si>
  <si>
    <t>N/A</t>
  </si>
  <si>
    <r>
      <t>Young toddler (1 to &lt;2 years)</t>
    </r>
    <r>
      <rPr>
        <vertAlign val="superscript"/>
        <sz val="11"/>
        <color theme="1"/>
        <rFont val="Calibri"/>
        <family val="2"/>
      </rPr>
      <t>b</t>
    </r>
  </si>
  <si>
    <t>Table 20a. 50th and 90th percentile IR is 0.6 and 4.7, respectively. Divide by BW of 11.4 to derive IR in g/kg-day</t>
  </si>
  <si>
    <r>
      <t>Toddler (2 to &lt;3 years)</t>
    </r>
    <r>
      <rPr>
        <vertAlign val="superscript"/>
        <sz val="11"/>
        <color theme="1"/>
        <rFont val="Calibri"/>
        <family val="2"/>
      </rPr>
      <t>b</t>
    </r>
  </si>
  <si>
    <t>Table 20a. 50th and 90th percentile IR is 0.6 and 4.7, respectively. Divide by BW of 13.8 to derive IR in g/kg-day</t>
  </si>
  <si>
    <r>
      <t>Small child (3 to &lt;6 years)</t>
    </r>
    <r>
      <rPr>
        <vertAlign val="superscript"/>
        <sz val="11"/>
        <color theme="1"/>
        <rFont val="Calibri"/>
        <family val="2"/>
      </rPr>
      <t>b</t>
    </r>
  </si>
  <si>
    <t>Table 20a. 50th and 90th percentile IR is 0.7 and 5.8, respectively. Divide by BW of 18.6 to derive IR in g/kg-day</t>
  </si>
  <si>
    <r>
      <t>Child (6 to &lt;11 years)</t>
    </r>
    <r>
      <rPr>
        <vertAlign val="superscript"/>
        <sz val="11"/>
        <color theme="1"/>
        <rFont val="Calibri"/>
        <family val="2"/>
      </rPr>
      <t>b</t>
    </r>
  </si>
  <si>
    <t>Table 20a. 50th and 90th percentile IR is 1.1 and 7.7, respectively. Divide by BW of 31.8 to derive IR in g/kg-day</t>
  </si>
  <si>
    <r>
      <t>Teen (11 to &lt;16 years)</t>
    </r>
    <r>
      <rPr>
        <vertAlign val="superscript"/>
        <sz val="11"/>
        <color theme="1"/>
        <rFont val="Calibri"/>
        <family val="2"/>
      </rPr>
      <t>b</t>
    </r>
  </si>
  <si>
    <t>Table 20a. 50th and 90th percentile IR is 1.1 and 8.3, respectively. Divide by BW of 56.8 to derive IR in g/kg-day</t>
  </si>
  <si>
    <r>
      <t>Adult (16 to &lt;70 years)</t>
    </r>
    <r>
      <rPr>
        <vertAlign val="superscript"/>
        <sz val="11"/>
        <color theme="1"/>
        <rFont val="Calibri"/>
        <family val="2"/>
      </rPr>
      <t>c</t>
    </r>
  </si>
  <si>
    <t>Even though table 9a is for adults &gt;=21, those rates were used and divided by 80 kg. The 90th percentile rate is 22 and not sure where HBCD got 22.2. TCEP used 22.2 as well, but it's a minor difference.</t>
  </si>
  <si>
    <r>
      <t>Subsistence fisher (adult)</t>
    </r>
    <r>
      <rPr>
        <vertAlign val="superscript"/>
        <sz val="11"/>
        <color theme="1"/>
        <rFont val="Calibri"/>
        <family val="2"/>
      </rPr>
      <t>d</t>
    </r>
  </si>
  <si>
    <t>a {U.S. EPA, 2011, 786546@@U.S. EPA-2011}, Table 8-1</t>
  </si>
  <si>
    <t>b {U.S. EPA, 2014, 3809132@@U.S. EPA-2014}, Table 20a</t>
  </si>
  <si>
    <t>c {U.S. EPA, 2014, 3809132@@U.S. EPA-2014}, Table 9a</t>
  </si>
  <si>
    <t>d {U.S. EPA, 2000, 19428@@U.S. EPA-2000}</t>
  </si>
  <si>
    <t>Drinking Water</t>
  </si>
  <si>
    <t>Drinking Water Exposure - Example Calculations</t>
  </si>
  <si>
    <t>Release Activity:</t>
  </si>
  <si>
    <t>AAR MOBILITY SYSTEMS</t>
  </si>
  <si>
    <t>Days of Release:</t>
  </si>
  <si>
    <t>Age</t>
  </si>
  <si>
    <t>Adult</t>
  </si>
  <si>
    <t>Infant</t>
  </si>
  <si>
    <t>Value</t>
  </si>
  <si>
    <t>Unit</t>
  </si>
  <si>
    <t>ADR=</t>
  </si>
  <si>
    <t>30Q5 Concentration</t>
  </si>
  <si>
    <t>ADD=</t>
  </si>
  <si>
    <t>Harmonic Mean Concentration</t>
  </si>
  <si>
    <t>LADD=</t>
  </si>
  <si>
    <t>%</t>
  </si>
  <si>
    <t>LADC=</t>
  </si>
  <si>
    <t>Intake Rate, acute</t>
  </si>
  <si>
    <t>L/day</t>
  </si>
  <si>
    <t>Intake Rate, chronic</t>
  </si>
  <si>
    <t>Release Days: ADR</t>
  </si>
  <si>
    <t>day</t>
  </si>
  <si>
    <t>Release Days: ADD, LADD, LADC</t>
  </si>
  <si>
    <t>days/yr</t>
  </si>
  <si>
    <t>Exposure Duration: ADD, LADD, and LADC</t>
  </si>
  <si>
    <t>years</t>
  </si>
  <si>
    <t>Averaging Time: ADR</t>
  </si>
  <si>
    <t>Averaging Time: ADD</t>
  </si>
  <si>
    <t>Averaging Time: LADD and LADC</t>
  </si>
  <si>
    <r>
      <t>ADR</t>
    </r>
    <r>
      <rPr>
        <vertAlign val="subscript"/>
        <sz val="11"/>
        <color theme="1"/>
        <rFont val="Times New Roman"/>
        <family val="1"/>
      </rPr>
      <t>POT</t>
    </r>
  </si>
  <si>
    <t>=</t>
  </si>
  <si>
    <t>Potential Acute Dose Rate (mg/kg/day)</t>
  </si>
  <si>
    <t>Body Weight</t>
  </si>
  <si>
    <t>kg</t>
  </si>
  <si>
    <r>
      <t>ADD</t>
    </r>
    <r>
      <rPr>
        <vertAlign val="subscript"/>
        <sz val="11"/>
        <color theme="1"/>
        <rFont val="Times New Roman"/>
        <family val="1"/>
      </rPr>
      <t>POT</t>
    </r>
  </si>
  <si>
    <t>Potential Average Daily Dose (mg/kg/day)</t>
  </si>
  <si>
    <t>Conversion Factor 1</t>
  </si>
  <si>
    <t>mg/µg</t>
  </si>
  <si>
    <r>
      <t>LADD</t>
    </r>
    <r>
      <rPr>
        <vertAlign val="subscript"/>
        <sz val="11"/>
        <color theme="1"/>
        <rFont val="Times New Roman"/>
        <family val="1"/>
      </rPr>
      <t>POT</t>
    </r>
    <r>
      <rPr>
        <sz val="11"/>
        <color theme="1"/>
        <rFont val="Times New Roman"/>
        <family val="1"/>
      </rPr>
      <t xml:space="preserve"> </t>
    </r>
  </si>
  <si>
    <t>Potential Lifetime Average Daily Dose (mg/kg/day)</t>
  </si>
  <si>
    <t>Conversion Factor 2</t>
  </si>
  <si>
    <t>days/year</t>
  </si>
  <si>
    <r>
      <t>LADC</t>
    </r>
    <r>
      <rPr>
        <vertAlign val="subscript"/>
        <sz val="11"/>
        <color theme="1"/>
        <rFont val="Times New Roman"/>
        <family val="1"/>
      </rPr>
      <t>POT</t>
    </r>
  </si>
  <si>
    <t>Potential Lifetime Average Daily Concentration in drinking water (mg/L)</t>
  </si>
  <si>
    <t>SWC</t>
  </si>
  <si>
    <t>Surface water concentration (ppb or µg/L; 30Q5 conc for ADR, harmonic mean for ADD, LADD, LADC)</t>
  </si>
  <si>
    <t xml:space="preserve">Removal during drinking water treatment (%) </t>
  </si>
  <si>
    <r>
      <t>IR</t>
    </r>
    <r>
      <rPr>
        <vertAlign val="subscript"/>
        <sz val="11"/>
        <color theme="1"/>
        <rFont val="Times New Roman"/>
        <family val="1"/>
      </rPr>
      <t>dw</t>
    </r>
  </si>
  <si>
    <t>Drinking water intake rate (L/day)</t>
  </si>
  <si>
    <t>RD</t>
  </si>
  <si>
    <r>
      <t>Release days (days/yr for ADD, LADD and LADC</t>
    </r>
    <r>
      <rPr>
        <vertAlign val="subscript"/>
        <sz val="11"/>
        <color theme="1"/>
        <rFont val="Times New Roman"/>
        <family val="1"/>
      </rPr>
      <t xml:space="preserve">; </t>
    </r>
    <r>
      <rPr>
        <sz val="11"/>
        <color theme="1"/>
        <rFont val="Times New Roman"/>
        <family val="1"/>
      </rPr>
      <t>1 day for ADR)</t>
    </r>
  </si>
  <si>
    <t>Exposure duration (years for ADD, LADD and LADC; 1 day for ADR)</t>
  </si>
  <si>
    <t>Conversion factor (1.0E-03 mg/µg)</t>
  </si>
  <si>
    <t>Conversion factor (365 days/year)</t>
  </si>
  <si>
    <r>
      <t>The harmonic mean streamflow concentration is used to calculate the LADD</t>
    </r>
    <r>
      <rPr>
        <vertAlign val="subscript"/>
        <sz val="11"/>
        <color theme="1"/>
        <rFont val="Times New Roman"/>
        <family val="1"/>
      </rPr>
      <t>POT</t>
    </r>
    <r>
      <rPr>
        <sz val="11"/>
        <color theme="1"/>
        <rFont val="Times New Roman"/>
        <family val="1"/>
      </rPr>
      <t xml:space="preserve"> and LADC</t>
    </r>
    <r>
      <rPr>
        <vertAlign val="subscript"/>
        <sz val="11"/>
        <color theme="1"/>
        <rFont val="Times New Roman"/>
        <family val="1"/>
      </rPr>
      <t>POT</t>
    </r>
    <r>
      <rPr>
        <sz val="11"/>
        <color theme="1"/>
        <rFont val="Times New Roman"/>
        <family val="1"/>
      </rPr>
      <t>. The 30Q5 streamflow concentration is used to calculate the ADR</t>
    </r>
    <r>
      <rPr>
        <vertAlign val="subscript"/>
        <sz val="11"/>
        <color theme="1"/>
        <rFont val="Times New Roman"/>
        <family val="1"/>
      </rPr>
      <t>POT</t>
    </r>
    <r>
      <rPr>
        <sz val="11"/>
        <color theme="1"/>
        <rFont val="Times New Roman"/>
        <family val="1"/>
      </rPr>
      <t>. This is consistent with EPA’s OW guidance (U.S. EPA, 1991). The mean (central tendency) drinking water intake rate is used to calculate LADD</t>
    </r>
    <r>
      <rPr>
        <vertAlign val="subscript"/>
        <sz val="11"/>
        <color theme="1"/>
        <rFont val="Times New Roman"/>
        <family val="1"/>
      </rPr>
      <t>POT</t>
    </r>
    <r>
      <rPr>
        <sz val="11"/>
        <color theme="1"/>
        <rFont val="Times New Roman"/>
        <family val="1"/>
      </rPr>
      <t xml:space="preserve"> and the high-end drinking water intake rate is used to calculate ADR</t>
    </r>
    <r>
      <rPr>
        <vertAlign val="subscript"/>
        <sz val="11"/>
        <color theme="1"/>
        <rFont val="Times New Roman"/>
        <family val="1"/>
      </rPr>
      <t>POT</t>
    </r>
    <r>
      <rPr>
        <sz val="11"/>
        <color theme="1"/>
        <rFont val="Times New Roman"/>
        <family val="1"/>
      </rPr>
      <t>.</t>
    </r>
  </si>
  <si>
    <t>Fish Ingestion</t>
  </si>
  <si>
    <t>Fish Ingestion Exposure - Example Calculations</t>
  </si>
  <si>
    <r>
      <t>ADD</t>
    </r>
    <r>
      <rPr>
        <vertAlign val="subscript"/>
        <sz val="11"/>
        <color rgb="FF000000"/>
        <rFont val="Times New Roman"/>
        <family val="1"/>
      </rPr>
      <t>POT</t>
    </r>
  </si>
  <si>
    <t>Surface water concentration (ppb or µg/L)</t>
  </si>
  <si>
    <t>Estimate of chemical's bioconcentration potential (L/kg)</t>
  </si>
  <si>
    <r>
      <t>IR</t>
    </r>
    <r>
      <rPr>
        <vertAlign val="subscript"/>
        <sz val="11"/>
        <color theme="1"/>
        <rFont val="Times New Roman"/>
        <family val="1"/>
      </rPr>
      <t>fish</t>
    </r>
  </si>
  <si>
    <t>Fish ingestion rate (kg/day)</t>
  </si>
  <si>
    <t>The distinction between acute and chronic fish ingestion is made on the basis of daily ingestion rate. The mean long-term fish ingestion rate is used to calculate chronic exposures and the mean serving size is used to calculate acute fish ingestion exposures for adults. This is in contrast to drinking water estimates, where the distinction between acute and chronic values is made on the basis of stream flows and on ingestion rates. The reason for this difference is that it takes time for chemical concentrations to accumulate in fish; therefore, the harmonic mean flow is used to calculate concentrations for both acute and chronic scenarios. It is not appropriate to use a very low streamflow value that occurs rarely as the basis for calculating a chemical residue in fish.</t>
  </si>
  <si>
    <t>Incidental Oral Ingestion</t>
  </si>
  <si>
    <t>Incidental Oral Ingestion Exposure - Example Calculations</t>
  </si>
  <si>
    <t>Youth 11 to 15</t>
  </si>
  <si>
    <t>ADR</t>
  </si>
  <si>
    <t>Acute Dose Rate (mg/kg/day)</t>
  </si>
  <si>
    <t>Ingestion Rate</t>
  </si>
  <si>
    <t>L/hr</t>
  </si>
  <si>
    <t>ADD</t>
  </si>
  <si>
    <t>Average Daily Dose (mg/kg/day)</t>
  </si>
  <si>
    <t>Exposure Time</t>
  </si>
  <si>
    <t>hr</t>
  </si>
  <si>
    <t>Daily Ingestion Rate</t>
  </si>
  <si>
    <t>IR</t>
  </si>
  <si>
    <t>Daily ingestion rate (L/day)</t>
  </si>
  <si>
    <t>Release Days: ADD</t>
  </si>
  <si>
    <t>Release days (days/yr)</t>
  </si>
  <si>
    <t>Exposure Duration: ADD</t>
  </si>
  <si>
    <t>Exposure duration (years)</t>
  </si>
  <si>
    <t>Averaging time (years)</t>
  </si>
  <si>
    <t>Incidental Dermal</t>
  </si>
  <si>
    <t>Incidental Dermal Exposure - Example Calculations</t>
  </si>
  <si>
    <t>Permeability Coefficient</t>
  </si>
  <si>
    <t>cm/hr</t>
  </si>
  <si>
    <t>Skin Surface Area</t>
  </si>
  <si>
    <r>
      <t>cm</t>
    </r>
    <r>
      <rPr>
        <vertAlign val="superscript"/>
        <sz val="11"/>
        <color theme="1"/>
        <rFont val="Times New Roman"/>
        <family val="1"/>
      </rPr>
      <t>2</t>
    </r>
  </si>
  <si>
    <t>Chemical concentration in water (µg/L)</t>
  </si>
  <si>
    <r>
      <t>Skin surface area exposed (cm</t>
    </r>
    <r>
      <rPr>
        <vertAlign val="superscript"/>
        <sz val="11"/>
        <color theme="1"/>
        <rFont val="Times New Roman"/>
        <family val="1"/>
      </rPr>
      <t>2</t>
    </r>
    <r>
      <rPr>
        <sz val="11"/>
        <color theme="1"/>
        <rFont val="Times New Roman"/>
        <family val="1"/>
      </rPr>
      <t>)</t>
    </r>
  </si>
  <si>
    <r>
      <t>L/cm</t>
    </r>
    <r>
      <rPr>
        <vertAlign val="superscript"/>
        <sz val="11"/>
        <color theme="1"/>
        <rFont val="Times New Roman"/>
        <family val="1"/>
      </rPr>
      <t>3</t>
    </r>
  </si>
  <si>
    <t>Conversion Factor 3</t>
  </si>
  <si>
    <r>
      <t>Conversion factor (1.0E-03 L/cm</t>
    </r>
    <r>
      <rPr>
        <vertAlign val="superscript"/>
        <sz val="11"/>
        <color theme="1"/>
        <rFont val="Times New Roman"/>
        <family val="1"/>
      </rPr>
      <t>3</t>
    </r>
    <r>
      <rPr>
        <sz val="11"/>
        <color theme="1"/>
        <rFont val="Times New Roman"/>
        <family val="1"/>
      </rPr>
      <t>)</t>
    </r>
  </si>
  <si>
    <t>TCE</t>
  </si>
  <si>
    <t>PERC</t>
  </si>
  <si>
    <t>MCL</t>
  </si>
  <si>
    <t>CCL4</t>
  </si>
  <si>
    <t>11DCA</t>
  </si>
  <si>
    <t>kg/yr</t>
  </si>
  <si>
    <t>kg/day</t>
  </si>
  <si>
    <t>12DCA</t>
  </si>
  <si>
    <t>Byproducts General Population Exposures for 1,2-Dichloroethane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</si>
</sst>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0.000E+00"/>
    <numFmt numFmtId="166" formatCode="0.0000"/>
    <numFmt numFmtId="167" formatCode="0.0"/>
    <numFmt numFmtId="168" formatCode="_(* #,##0_);_(* \(#,##0\);_(* &quot;-&quot;??_);_(@_)"/>
  </numFmts>
  <fonts count="4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sz val="11"/>
      <color rgb="FF000000"/>
      <name val="Calibri"/>
      <family val="2"/>
      <scheme val="minor"/>
    </font>
    <font>
      <sz val="12"/>
      <color rgb="FF000000"/>
      <name val="Calibri"/>
      <family val="2"/>
    </font>
    <font>
      <sz val="11"/>
      <color theme="1"/>
      <name val="Calibri"/>
      <family val="2"/>
    </font>
    <font>
      <sz val="11"/>
      <color theme="1"/>
      <name val="Times New Roman"/>
      <family val="1"/>
    </font>
    <font>
      <sz val="11"/>
      <color rgb="FFFF0000"/>
      <name val="Times New Roman"/>
      <family val="1"/>
    </font>
    <font>
      <b/>
      <sz val="11"/>
      <color theme="1"/>
      <name val="Times New Roman"/>
      <family val="1"/>
    </font>
    <font>
      <vertAlign val="subscript"/>
      <sz val="11"/>
      <color theme="1"/>
      <name val="Times New Roman"/>
      <family val="1"/>
    </font>
    <font>
      <vertAlign val="superscript"/>
      <sz val="11"/>
      <color theme="1"/>
      <name val="Times New Roman"/>
      <family val="1"/>
    </font>
    <font>
      <u/>
      <sz val="11"/>
      <color theme="10"/>
      <name val="Calibri"/>
      <family val="2"/>
      <scheme val="minor"/>
    </font>
    <font>
      <vertAlign val="subscript"/>
      <sz val="11"/>
      <color theme="1"/>
      <name val="Calibri"/>
      <family val="2"/>
      <scheme val="minor"/>
    </font>
    <font>
      <vertAlign val="superscript"/>
      <sz val="11"/>
      <color theme="1"/>
      <name val="Calibri"/>
      <family val="2"/>
      <scheme val="minor"/>
    </font>
    <font>
      <vertAlign val="superscript"/>
      <sz val="11"/>
      <color theme="1"/>
      <name val="Calibri"/>
      <family val="2"/>
    </font>
    <font>
      <sz val="10"/>
      <color theme="1"/>
      <name val="Times New Roman"/>
      <family val="1"/>
    </font>
    <font>
      <b/>
      <sz val="10"/>
      <color rgb="FF000000"/>
      <name val="Times New Roman"/>
      <family val="1"/>
    </font>
    <font>
      <b/>
      <sz val="11"/>
      <color rgb="FF000000"/>
      <name val="Times New Roman"/>
      <family val="1"/>
    </font>
    <font>
      <u/>
      <sz val="11"/>
      <color theme="1"/>
      <name val="Times New Roman"/>
      <family val="1"/>
    </font>
    <font>
      <b/>
      <sz val="16"/>
      <color rgb="FF000000"/>
      <name val="Times New Roman"/>
      <family val="1"/>
    </font>
    <font>
      <b/>
      <sz val="14"/>
      <color theme="1"/>
      <name val="Times New Roman"/>
      <family val="1"/>
    </font>
    <font>
      <sz val="12"/>
      <color theme="1"/>
      <name val="Times New Roman"/>
      <family val="1"/>
    </font>
    <font>
      <b/>
      <sz val="12"/>
      <color theme="1"/>
      <name val="Times New Roman"/>
      <family val="1"/>
    </font>
    <font>
      <sz val="11"/>
      <color rgb="FF000000"/>
      <name val="Times New Roman"/>
      <family val="1"/>
    </font>
    <font>
      <vertAlign val="subscript"/>
      <sz val="11"/>
      <color rgb="FF00000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rgb="FFFFFF00"/>
        <bgColor rgb="FF000000"/>
      </patternFill>
    </fill>
    <fill>
      <patternFill patternType="solid">
        <fgColor rgb="FFF2F2F2"/>
        <bgColor indexed="64"/>
      </patternFill>
    </fill>
    <fill>
      <patternFill patternType="solid">
        <fgColor theme="0" tint="-0.14996795556505021"/>
        <bgColor indexed="64"/>
      </patternFill>
    </fill>
    <fill>
      <patternFill patternType="solid">
        <fgColor theme="0"/>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xf numFmtId="0" fontId="27" fillId="0" borderId="0" applyNumberFormat="0" applyFill="0" applyBorder="0" applyAlignment="0" applyProtection="0"/>
    <xf numFmtId="43" fontId="1" fillId="0" borderId="0" applyFont="0" applyFill="0" applyBorder="0" applyAlignment="0" applyProtection="0"/>
  </cellStyleXfs>
  <cellXfs count="137">
    <xf numFmtId="0" fontId="0" fillId="0" borderId="0" xfId="0"/>
    <xf numFmtId="11" fontId="0" fillId="0" borderId="0" xfId="0" applyNumberFormat="1"/>
    <xf numFmtId="0" fontId="0" fillId="0" borderId="12" xfId="0" applyBorder="1"/>
    <xf numFmtId="0" fontId="0" fillId="0" borderId="13" xfId="0" applyBorder="1"/>
    <xf numFmtId="0" fontId="22" fillId="0" borderId="0" xfId="0" applyFont="1" applyAlignment="1">
      <alignment horizontal="left" vertical="top"/>
    </xf>
    <xf numFmtId="0" fontId="22" fillId="0" borderId="0" xfId="0" applyFont="1"/>
    <xf numFmtId="0" fontId="24" fillId="0" borderId="0" xfId="0" applyFont="1"/>
    <xf numFmtId="0" fontId="22" fillId="0" borderId="0" xfId="0" applyFont="1" applyAlignment="1">
      <alignment vertical="center" wrapText="1"/>
    </xf>
    <xf numFmtId="0" fontId="24" fillId="0" borderId="0" xfId="0" applyFont="1" applyAlignment="1">
      <alignment vertical="center"/>
    </xf>
    <xf numFmtId="0" fontId="22" fillId="0" borderId="0" xfId="0" applyFont="1" applyAlignment="1">
      <alignment vertical="center"/>
    </xf>
    <xf numFmtId="0" fontId="24" fillId="0" borderId="0" xfId="0" applyFont="1" applyAlignment="1">
      <alignment horizontal="right"/>
    </xf>
    <xf numFmtId="11" fontId="22" fillId="0" borderId="0" xfId="0" applyNumberFormat="1" applyFont="1"/>
    <xf numFmtId="164" fontId="22" fillId="0" borderId="0" xfId="0" applyNumberFormat="1" applyFont="1" applyAlignment="1">
      <alignment vertical="center"/>
    </xf>
    <xf numFmtId="165" fontId="22" fillId="0" borderId="0" xfId="0" applyNumberFormat="1" applyFont="1"/>
    <xf numFmtId="2" fontId="22" fillId="0" borderId="0" xfId="0" applyNumberFormat="1" applyFont="1"/>
    <xf numFmtId="0" fontId="22" fillId="0" borderId="0" xfId="0" applyFont="1" applyAlignment="1">
      <alignment vertical="top" wrapText="1"/>
    </xf>
    <xf numFmtId="0" fontId="23" fillId="0" borderId="0" xfId="0" applyFont="1" applyAlignment="1">
      <alignment horizontal="left" vertical="top"/>
    </xf>
    <xf numFmtId="0" fontId="23" fillId="0" borderId="0" xfId="0" applyFont="1"/>
    <xf numFmtId="0" fontId="23" fillId="0" borderId="0" xfId="0" applyFont="1" applyAlignment="1">
      <alignment horizontal="left" vertical="top" wrapText="1"/>
    </xf>
    <xf numFmtId="11" fontId="24" fillId="0" borderId="0" xfId="0" applyNumberFormat="1" applyFont="1"/>
    <xf numFmtId="0" fontId="16" fillId="0" borderId="0" xfId="0" applyFont="1"/>
    <xf numFmtId="0" fontId="16" fillId="0" borderId="0" xfId="0" applyFont="1" applyAlignment="1">
      <alignment vertical="center"/>
    </xf>
    <xf numFmtId="0" fontId="0" fillId="0" borderId="13" xfId="0" applyBorder="1" applyAlignment="1">
      <alignment horizontal="left" vertical="top"/>
    </xf>
    <xf numFmtId="164" fontId="0" fillId="0" borderId="13" xfId="0" applyNumberFormat="1" applyBorder="1" applyAlignment="1">
      <alignment horizontal="left" vertical="top"/>
    </xf>
    <xf numFmtId="0" fontId="27" fillId="0" borderId="12" xfId="43" applyBorder="1" applyAlignment="1">
      <alignment horizontal="left" vertical="top" wrapText="1"/>
    </xf>
    <xf numFmtId="164" fontId="0" fillId="0" borderId="12" xfId="0" applyNumberFormat="1" applyBorder="1" applyAlignment="1">
      <alignment horizontal="left" vertical="top"/>
    </xf>
    <xf numFmtId="2" fontId="0" fillId="0" borderId="12" xfId="0" applyNumberFormat="1" applyBorder="1" applyAlignment="1">
      <alignment horizontal="left" vertical="top"/>
    </xf>
    <xf numFmtId="166" fontId="0" fillId="0" borderId="12" xfId="0" applyNumberFormat="1" applyBorder="1" applyAlignment="1">
      <alignment horizontal="left" vertical="top"/>
    </xf>
    <xf numFmtId="167" fontId="0" fillId="0" borderId="13" xfId="0" applyNumberFormat="1" applyBorder="1" applyAlignment="1">
      <alignment horizontal="left" vertical="top"/>
    </xf>
    <xf numFmtId="0" fontId="19" fillId="0" borderId="12" xfId="0" applyFont="1" applyBorder="1" applyAlignment="1">
      <alignment horizontal="left" vertical="top"/>
    </xf>
    <xf numFmtId="0" fontId="19" fillId="35" borderId="12" xfId="0" applyFont="1" applyFill="1" applyBorder="1" applyAlignment="1">
      <alignment horizontal="left" vertical="top"/>
    </xf>
    <xf numFmtId="0" fontId="16" fillId="0" borderId="0" xfId="0" applyFont="1" applyAlignment="1">
      <alignment horizontal="left" vertical="top"/>
    </xf>
    <xf numFmtId="0" fontId="0" fillId="0" borderId="0" xfId="0" applyAlignment="1">
      <alignment horizontal="left" vertical="top" wrapText="1"/>
    </xf>
    <xf numFmtId="0" fontId="16" fillId="0" borderId="0" xfId="0" applyFont="1" applyAlignment="1">
      <alignment horizontal="left" vertical="top" wrapText="1"/>
    </xf>
    <xf numFmtId="11" fontId="0" fillId="0" borderId="0" xfId="0" applyNumberFormat="1" applyAlignment="1">
      <alignment horizontal="left" vertical="top"/>
    </xf>
    <xf numFmtId="0" fontId="0" fillId="0" borderId="0" xfId="0" applyAlignment="1">
      <alignment horizontal="left" vertical="top"/>
    </xf>
    <xf numFmtId="0" fontId="16" fillId="34" borderId="15" xfId="0" applyFont="1" applyFill="1" applyBorder="1" applyAlignment="1">
      <alignment horizontal="left" vertical="top" wrapText="1"/>
    </xf>
    <xf numFmtId="0" fontId="27" fillId="0" borderId="12" xfId="43" applyBorder="1" applyAlignment="1">
      <alignment horizontal="left" vertical="top"/>
    </xf>
    <xf numFmtId="166" fontId="0" fillId="0" borderId="0" xfId="0" applyNumberFormat="1" applyAlignment="1">
      <alignment horizontal="left" vertical="top"/>
    </xf>
    <xf numFmtId="0" fontId="0" fillId="33" borderId="13" xfId="0" applyFill="1" applyBorder="1" applyAlignment="1">
      <alignment horizontal="left" vertical="top" wrapText="1"/>
    </xf>
    <xf numFmtId="1" fontId="0" fillId="33" borderId="13" xfId="0" applyNumberFormat="1" applyFill="1" applyBorder="1" applyAlignment="1">
      <alignment horizontal="left" vertical="top"/>
    </xf>
    <xf numFmtId="164" fontId="0" fillId="33" borderId="13" xfId="0" applyNumberFormat="1" applyFill="1" applyBorder="1" applyAlignment="1">
      <alignment horizontal="left" vertical="top"/>
    </xf>
    <xf numFmtId="0" fontId="0" fillId="33" borderId="13" xfId="0" applyFill="1" applyBorder="1" applyAlignment="1">
      <alignment horizontal="left" vertical="top"/>
    </xf>
    <xf numFmtId="0" fontId="21" fillId="0" borderId="26" xfId="0" applyFont="1" applyBorder="1" applyAlignment="1">
      <alignment vertical="center"/>
    </xf>
    <xf numFmtId="0" fontId="21" fillId="0" borderId="27" xfId="0" applyFont="1" applyBorder="1" applyAlignment="1">
      <alignment vertical="center" wrapText="1"/>
    </xf>
    <xf numFmtId="0" fontId="31" fillId="0" borderId="29" xfId="0" applyFont="1" applyBorder="1" applyAlignment="1">
      <alignment vertical="top"/>
    </xf>
    <xf numFmtId="0" fontId="31" fillId="0" borderId="30" xfId="0" applyFont="1" applyBorder="1" applyAlignment="1">
      <alignment vertical="top"/>
    </xf>
    <xf numFmtId="0" fontId="21" fillId="0" borderId="30" xfId="0" applyFont="1" applyBorder="1" applyAlignment="1">
      <alignment vertical="center"/>
    </xf>
    <xf numFmtId="0" fontId="21" fillId="0" borderId="30" xfId="0" applyFont="1" applyBorder="1" applyAlignment="1">
      <alignment vertical="center" wrapText="1"/>
    </xf>
    <xf numFmtId="0" fontId="21" fillId="0" borderId="29" xfId="0" applyFont="1" applyBorder="1" applyAlignment="1">
      <alignment vertical="center"/>
    </xf>
    <xf numFmtId="0" fontId="32" fillId="36" borderId="33" xfId="0" applyFont="1" applyFill="1" applyBorder="1" applyAlignment="1">
      <alignment horizontal="center" vertical="center" wrapText="1"/>
    </xf>
    <xf numFmtId="0" fontId="31" fillId="0" borderId="29" xfId="0" applyFont="1" applyBorder="1" applyAlignment="1">
      <alignment vertical="center"/>
    </xf>
    <xf numFmtId="10" fontId="31" fillId="0" borderId="30" xfId="0" applyNumberFormat="1" applyFont="1" applyBorder="1" applyAlignment="1">
      <alignment vertical="center"/>
    </xf>
    <xf numFmtId="0" fontId="32" fillId="36" borderId="32" xfId="0" applyFont="1" applyFill="1" applyBorder="1" applyAlignment="1">
      <alignment horizontal="center" vertical="center" wrapText="1"/>
    </xf>
    <xf numFmtId="11" fontId="0" fillId="0" borderId="12" xfId="0" applyNumberFormat="1" applyBorder="1"/>
    <xf numFmtId="11" fontId="16" fillId="0" borderId="0" xfId="0" applyNumberFormat="1" applyFont="1"/>
    <xf numFmtId="11" fontId="0" fillId="0" borderId="13" xfId="0" applyNumberFormat="1" applyBorder="1"/>
    <xf numFmtId="0" fontId="32" fillId="36" borderId="10" xfId="0" applyFont="1" applyFill="1" applyBorder="1" applyAlignment="1">
      <alignment horizontal="center" vertical="center" wrapText="1"/>
    </xf>
    <xf numFmtId="0" fontId="32" fillId="36" borderId="37" xfId="0" applyFont="1" applyFill="1" applyBorder="1" applyAlignment="1">
      <alignment horizontal="center" vertical="center" wrapText="1"/>
    </xf>
    <xf numFmtId="168" fontId="0" fillId="0" borderId="0" xfId="44" applyNumberFormat="1" applyFont="1"/>
    <xf numFmtId="0" fontId="32" fillId="36" borderId="38" xfId="0" applyFont="1" applyFill="1" applyBorder="1" applyAlignment="1">
      <alignment horizontal="center" vertical="center" wrapText="1"/>
    </xf>
    <xf numFmtId="0" fontId="22" fillId="0" borderId="30" xfId="0" applyFont="1" applyBorder="1" applyAlignment="1">
      <alignment vertical="center" wrapText="1"/>
    </xf>
    <xf numFmtId="0" fontId="22" fillId="0" borderId="30" xfId="0" applyFont="1" applyBorder="1" applyAlignment="1">
      <alignment vertical="center"/>
    </xf>
    <xf numFmtId="11" fontId="0" fillId="0" borderId="10" xfId="0" applyNumberFormat="1" applyBorder="1"/>
    <xf numFmtId="0" fontId="0" fillId="0" borderId="10" xfId="0" applyBorder="1"/>
    <xf numFmtId="0" fontId="34" fillId="0" borderId="0" xfId="0" applyFont="1" applyAlignment="1">
      <alignment vertical="center"/>
    </xf>
    <xf numFmtId="0" fontId="32" fillId="36" borderId="41" xfId="0" applyFont="1" applyFill="1" applyBorder="1" applyAlignment="1">
      <alignment horizontal="center" vertical="center" wrapText="1"/>
    </xf>
    <xf numFmtId="0" fontId="0" fillId="0" borderId="13" xfId="0" applyBorder="1" applyAlignment="1">
      <alignment wrapText="1"/>
    </xf>
    <xf numFmtId="0" fontId="0" fillId="0" borderId="12" xfId="0" applyBorder="1" applyAlignment="1">
      <alignment wrapText="1"/>
    </xf>
    <xf numFmtId="0" fontId="16" fillId="37" borderId="21" xfId="0" applyFont="1" applyFill="1" applyBorder="1"/>
    <xf numFmtId="0" fontId="16" fillId="37" borderId="11" xfId="0" applyFont="1" applyFill="1" applyBorder="1"/>
    <xf numFmtId="0" fontId="16" fillId="37" borderId="22" xfId="0" applyFont="1" applyFill="1" applyBorder="1"/>
    <xf numFmtId="0" fontId="32" fillId="36" borderId="12" xfId="0" applyFont="1" applyFill="1" applyBorder="1" applyAlignment="1">
      <alignment horizontal="center" vertical="center" wrapText="1"/>
    </xf>
    <xf numFmtId="11" fontId="0" fillId="0" borderId="21" xfId="0" applyNumberFormat="1" applyBorder="1"/>
    <xf numFmtId="0" fontId="32" fillId="36" borderId="13" xfId="0" applyFont="1" applyFill="1" applyBorder="1" applyAlignment="1">
      <alignment horizontal="center" vertical="center" wrapText="1"/>
    </xf>
    <xf numFmtId="0" fontId="0" fillId="0" borderId="0" xfId="0" applyAlignment="1">
      <alignment horizontal="center"/>
    </xf>
    <xf numFmtId="0" fontId="36" fillId="38" borderId="0" xfId="0" applyFont="1" applyFill="1" applyAlignment="1">
      <alignment horizontal="center" vertical="center"/>
    </xf>
    <xf numFmtId="0" fontId="37" fillId="0" borderId="0" xfId="0" applyFont="1" applyAlignment="1">
      <alignment horizontal="center"/>
    </xf>
    <xf numFmtId="49" fontId="38" fillId="0" borderId="0" xfId="0" applyNumberFormat="1" applyFont="1" applyAlignment="1">
      <alignment horizontal="left"/>
    </xf>
    <xf numFmtId="0" fontId="35" fillId="0" borderId="0" xfId="0" applyFont="1" applyAlignment="1">
      <alignment horizontal="center" wrapText="1"/>
    </xf>
    <xf numFmtId="0" fontId="16" fillId="37" borderId="22" xfId="0" applyFont="1" applyFill="1" applyBorder="1" applyAlignment="1">
      <alignment horizontal="center"/>
    </xf>
    <xf numFmtId="0" fontId="32" fillId="36" borderId="35" xfId="0" applyFont="1" applyFill="1" applyBorder="1" applyAlignment="1">
      <alignment horizontal="center" vertical="center" wrapText="1"/>
    </xf>
    <xf numFmtId="0" fontId="16" fillId="0" borderId="14" xfId="0" applyFont="1" applyBorder="1" applyAlignment="1">
      <alignment horizontal="center"/>
    </xf>
    <xf numFmtId="0" fontId="0" fillId="0" borderId="21"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1" fillId="0" borderId="27" xfId="0" applyFont="1" applyBorder="1" applyAlignment="1">
      <alignment vertical="center"/>
    </xf>
    <xf numFmtId="0" fontId="0" fillId="0" borderId="12" xfId="0" applyBorder="1" applyAlignment="1">
      <alignment horizontal="left" vertical="top"/>
    </xf>
    <xf numFmtId="0" fontId="16" fillId="34" borderId="17" xfId="0" applyFont="1" applyFill="1" applyBorder="1" applyAlignment="1">
      <alignment horizontal="left" vertical="top" wrapText="1"/>
    </xf>
    <xf numFmtId="11" fontId="0" fillId="33" borderId="12" xfId="0" applyNumberFormat="1" applyFill="1" applyBorder="1" applyAlignment="1">
      <alignment horizontal="left" vertical="top"/>
    </xf>
    <xf numFmtId="0" fontId="0" fillId="33" borderId="12" xfId="0" applyFill="1" applyBorder="1" applyAlignment="1">
      <alignment horizontal="left" vertical="top"/>
    </xf>
    <xf numFmtId="0" fontId="16" fillId="34" borderId="17" xfId="0" applyFont="1" applyFill="1" applyBorder="1" applyAlignment="1">
      <alignment horizontal="left" vertical="top"/>
    </xf>
    <xf numFmtId="0" fontId="0" fillId="0" borderId="22" xfId="0" applyBorder="1" applyAlignment="1">
      <alignment horizontal="left" vertical="top" wrapText="1"/>
    </xf>
    <xf numFmtId="0" fontId="22" fillId="0" borderId="0" xfId="0" applyFont="1" applyAlignment="1">
      <alignment horizontal="left" vertical="top" wrapText="1"/>
    </xf>
    <xf numFmtId="0" fontId="39" fillId="0" borderId="0" xfId="0" applyFont="1" applyAlignment="1">
      <alignment vertical="center"/>
    </xf>
    <xf numFmtId="0" fontId="39" fillId="0" borderId="0" xfId="0" applyFont="1"/>
    <xf numFmtId="4" fontId="31" fillId="0" borderId="39" xfId="0" applyNumberFormat="1" applyFont="1" applyBorder="1" applyAlignment="1">
      <alignment vertical="center" wrapText="1"/>
    </xf>
    <xf numFmtId="11" fontId="31" fillId="0" borderId="39" xfId="0" applyNumberFormat="1" applyFont="1" applyBorder="1" applyAlignment="1">
      <alignment vertical="center" wrapText="1"/>
    </xf>
    <xf numFmtId="0" fontId="16" fillId="37" borderId="21" xfId="0" applyFont="1" applyFill="1" applyBorder="1" applyAlignment="1">
      <alignment horizontal="center"/>
    </xf>
    <xf numFmtId="0" fontId="16" fillId="37" borderId="22" xfId="0" applyFont="1" applyFill="1" applyBorder="1" applyAlignment="1">
      <alignment horizontal="center"/>
    </xf>
    <xf numFmtId="0" fontId="16" fillId="37" borderId="11" xfId="0" applyFont="1" applyFill="1" applyBorder="1" applyAlignment="1">
      <alignment horizontal="center"/>
    </xf>
    <xf numFmtId="0" fontId="32" fillId="36" borderId="15" xfId="0" applyFont="1" applyFill="1" applyBorder="1" applyAlignment="1">
      <alignment horizontal="center" vertical="center" wrapText="1"/>
    </xf>
    <xf numFmtId="0" fontId="32" fillId="36" borderId="35" xfId="0" applyFont="1" applyFill="1" applyBorder="1" applyAlignment="1">
      <alignment horizontal="center" vertical="center" wrapText="1"/>
    </xf>
    <xf numFmtId="0" fontId="16" fillId="0" borderId="0" xfId="0" applyFont="1" applyAlignment="1">
      <alignment horizontal="center"/>
    </xf>
    <xf numFmtId="0" fontId="16" fillId="0" borderId="14" xfId="0" applyFont="1" applyBorder="1" applyAlignment="1">
      <alignment horizontal="center"/>
    </xf>
    <xf numFmtId="0" fontId="16" fillId="37" borderId="34" xfId="0" applyFont="1" applyFill="1" applyBorder="1" applyAlignment="1">
      <alignment horizontal="center"/>
    </xf>
    <xf numFmtId="0" fontId="16" fillId="37" borderId="36" xfId="0" applyFont="1" applyFill="1" applyBorder="1" applyAlignment="1">
      <alignment horizontal="center"/>
    </xf>
    <xf numFmtId="0" fontId="33" fillId="36" borderId="15" xfId="0" applyFont="1" applyFill="1" applyBorder="1" applyAlignment="1">
      <alignment horizontal="center" vertical="center" wrapText="1"/>
    </xf>
    <xf numFmtId="0" fontId="33" fillId="36" borderId="40" xfId="0" applyFont="1" applyFill="1" applyBorder="1" applyAlignment="1">
      <alignment horizontal="center" vertical="center" wrapText="1"/>
    </xf>
    <xf numFmtId="0" fontId="18" fillId="0" borderId="28" xfId="0" applyFont="1" applyBorder="1" applyAlignment="1">
      <alignment vertical="center"/>
    </xf>
    <xf numFmtId="0" fontId="18" fillId="0" borderId="31" xfId="0" applyFont="1" applyBorder="1" applyAlignment="1">
      <alignment vertical="center"/>
    </xf>
    <xf numFmtId="0" fontId="18" fillId="0" borderId="27" xfId="0" applyFont="1" applyBorder="1" applyAlignment="1">
      <alignment vertical="center"/>
    </xf>
    <xf numFmtId="0" fontId="0" fillId="0" borderId="21"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16" fillId="34" borderId="18" xfId="0" applyFont="1" applyFill="1" applyBorder="1" applyAlignment="1">
      <alignment horizontal="left" vertical="top"/>
    </xf>
    <xf numFmtId="0" fontId="16" fillId="34" borderId="19" xfId="0" applyFont="1" applyFill="1" applyBorder="1" applyAlignment="1">
      <alignment horizontal="left" vertical="top"/>
    </xf>
    <xf numFmtId="0" fontId="16" fillId="34" borderId="20" xfId="0" applyFont="1" applyFill="1" applyBorder="1" applyAlignment="1">
      <alignment horizontal="left" vertical="top"/>
    </xf>
    <xf numFmtId="0" fontId="0" fillId="0" borderId="13" xfId="0" applyBorder="1" applyAlignment="1">
      <alignment horizontal="left" vertical="top" wrapText="1"/>
    </xf>
    <xf numFmtId="0" fontId="21" fillId="0" borderId="28" xfId="0" applyFont="1" applyBorder="1" applyAlignment="1">
      <alignment vertical="center"/>
    </xf>
    <xf numFmtId="0" fontId="21" fillId="0" borderId="27" xfId="0" applyFont="1" applyBorder="1" applyAlignment="1">
      <alignment vertical="center"/>
    </xf>
    <xf numFmtId="0" fontId="0" fillId="0" borderId="23" xfId="0" applyBorder="1" applyAlignment="1">
      <alignment horizontal="left" vertical="top" wrapText="1"/>
    </xf>
    <xf numFmtId="0" fontId="0" fillId="0" borderId="25" xfId="0" applyBorder="1" applyAlignment="1">
      <alignment horizontal="left" vertical="top" wrapText="1"/>
    </xf>
    <xf numFmtId="11" fontId="0" fillId="0" borderId="12" xfId="0" applyNumberFormat="1" applyBorder="1" applyAlignment="1">
      <alignment horizontal="left" vertical="top"/>
    </xf>
    <xf numFmtId="0" fontId="0" fillId="0" borderId="12" xfId="0" applyBorder="1" applyAlignment="1">
      <alignment horizontal="center" vertical="top"/>
    </xf>
    <xf numFmtId="0" fontId="0" fillId="0" borderId="12" xfId="0" applyBorder="1" applyAlignment="1">
      <alignment horizontal="left" vertical="top"/>
    </xf>
    <xf numFmtId="0" fontId="16" fillId="34" borderId="18" xfId="0" applyFont="1" applyFill="1" applyBorder="1" applyAlignment="1">
      <alignment horizontal="left" vertical="top" wrapText="1"/>
    </xf>
    <xf numFmtId="0" fontId="16" fillId="34" borderId="20" xfId="0" applyFont="1" applyFill="1" applyBorder="1" applyAlignment="1">
      <alignment horizontal="left" vertical="top" wrapText="1"/>
    </xf>
    <xf numFmtId="0" fontId="16" fillId="34" borderId="17" xfId="0" applyFont="1" applyFill="1" applyBorder="1" applyAlignment="1">
      <alignment horizontal="left" vertical="top" wrapText="1"/>
    </xf>
    <xf numFmtId="11" fontId="0" fillId="33" borderId="12" xfId="0" applyNumberFormat="1" applyFill="1" applyBorder="1" applyAlignment="1">
      <alignment horizontal="left" vertical="top"/>
    </xf>
    <xf numFmtId="0" fontId="0" fillId="33" borderId="12" xfId="0" applyFill="1" applyBorder="1" applyAlignment="1">
      <alignment horizontal="left" vertical="top"/>
    </xf>
    <xf numFmtId="0" fontId="16" fillId="34" borderId="17" xfId="0" applyFont="1" applyFill="1" applyBorder="1" applyAlignment="1">
      <alignment horizontal="left" vertical="top"/>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16" xfId="0" applyBorder="1" applyAlignment="1">
      <alignment horizontal="center"/>
    </xf>
    <xf numFmtId="0" fontId="22" fillId="0" borderId="0" xfId="0" applyFont="1"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4"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5B49A1A5-4C00-48B8-B77D-AFE2D09A6EA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2962275</xdr:colOff>
      <xdr:row>4</xdr:row>
      <xdr:rowOff>28575</xdr:rowOff>
    </xdr:from>
    <xdr:to>
      <xdr:col>0</xdr:col>
      <xdr:colOff>4587875</xdr:colOff>
      <xdr:row>8</xdr:row>
      <xdr:rowOff>95250</xdr:rowOff>
    </xdr:to>
    <xdr:pic>
      <xdr:nvPicPr>
        <xdr:cNvPr id="2" name="Picture 2">
          <a:extLst>
            <a:ext uri="{FF2B5EF4-FFF2-40B4-BE49-F238E27FC236}">
              <a16:creationId xmlns:a16="http://schemas.microsoft.com/office/drawing/2014/main" id="{B145B455-4386-4D5C-B9DC-143AC591AA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146" b="25731"/>
        <a:stretch/>
      </xdr:blipFill>
      <xdr:spPr bwMode="auto">
        <a:xfrm>
          <a:off x="2962275" y="1752600"/>
          <a:ext cx="1625600" cy="8286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75140</xdr:colOff>
      <xdr:row>3</xdr:row>
      <xdr:rowOff>82550</xdr:rowOff>
    </xdr:from>
    <xdr:to>
      <xdr:col>5</xdr:col>
      <xdr:colOff>383115</xdr:colOff>
      <xdr:row>6</xdr:row>
      <xdr:rowOff>15875</xdr:rowOff>
    </xdr:to>
    <xdr:pic>
      <xdr:nvPicPr>
        <xdr:cNvPr id="2" name="Picture 1">
          <a:extLst>
            <a:ext uri="{FF2B5EF4-FFF2-40B4-BE49-F238E27FC236}">
              <a16:creationId xmlns:a16="http://schemas.microsoft.com/office/drawing/2014/main" id="{0C5FE0A9-B188-4F2A-B486-502E65E3E82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647700"/>
          <a:ext cx="3355975" cy="47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10</xdr:row>
      <xdr:rowOff>106891</xdr:rowOff>
    </xdr:from>
    <xdr:to>
      <xdr:col>6</xdr:col>
      <xdr:colOff>246590</xdr:colOff>
      <xdr:row>13</xdr:row>
      <xdr:rowOff>27516</xdr:rowOff>
    </xdr:to>
    <xdr:pic>
      <xdr:nvPicPr>
        <xdr:cNvPr id="3" name="Picture 2">
          <a:extLst>
            <a:ext uri="{FF2B5EF4-FFF2-40B4-BE49-F238E27FC236}">
              <a16:creationId xmlns:a16="http://schemas.microsoft.com/office/drawing/2014/main" id="{101FD8DE-7570-4C01-81AD-3B89A04EA00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1932516"/>
          <a:ext cx="382905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14</xdr:row>
      <xdr:rowOff>44450</xdr:rowOff>
    </xdr:from>
    <xdr:to>
      <xdr:col>5</xdr:col>
      <xdr:colOff>341840</xdr:colOff>
      <xdr:row>16</xdr:row>
      <xdr:rowOff>158750</xdr:rowOff>
    </xdr:to>
    <xdr:pic>
      <xdr:nvPicPr>
        <xdr:cNvPr id="4" name="Picture 3">
          <a:extLst>
            <a:ext uri="{FF2B5EF4-FFF2-40B4-BE49-F238E27FC236}">
              <a16:creationId xmlns:a16="http://schemas.microsoft.com/office/drawing/2014/main" id="{E84F4ECF-9B12-4A1D-A2ED-757921741DEE}"/>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2600325"/>
          <a:ext cx="3314700"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91</xdr:row>
      <xdr:rowOff>171450</xdr:rowOff>
    </xdr:from>
    <xdr:to>
      <xdr:col>4</xdr:col>
      <xdr:colOff>189440</xdr:colOff>
      <xdr:row>93</xdr:row>
      <xdr:rowOff>123825</xdr:rowOff>
    </xdr:to>
    <xdr:pic>
      <xdr:nvPicPr>
        <xdr:cNvPr id="5" name="Picture 4">
          <a:extLst>
            <a:ext uri="{FF2B5EF4-FFF2-40B4-BE49-F238E27FC236}">
              <a16:creationId xmlns:a16="http://schemas.microsoft.com/office/drawing/2014/main" id="{BEF13F45-3B91-49FC-BC65-98CC4014C169}"/>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17173575"/>
          <a:ext cx="2552700" cy="31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75</xdr:row>
      <xdr:rowOff>104775</xdr:rowOff>
    </xdr:from>
    <xdr:to>
      <xdr:col>3</xdr:col>
      <xdr:colOff>418040</xdr:colOff>
      <xdr:row>77</xdr:row>
      <xdr:rowOff>57150</xdr:rowOff>
    </xdr:to>
    <xdr:pic>
      <xdr:nvPicPr>
        <xdr:cNvPr id="6" name="Picture 5">
          <a:extLst>
            <a:ext uri="{FF2B5EF4-FFF2-40B4-BE49-F238E27FC236}">
              <a16:creationId xmlns:a16="http://schemas.microsoft.com/office/drawing/2014/main" id="{0C0D5DA6-02DD-4A88-AF4E-5EA8E1AB763E}"/>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14208125"/>
          <a:ext cx="2171700" cy="31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94</xdr:row>
      <xdr:rowOff>76200</xdr:rowOff>
    </xdr:from>
    <xdr:to>
      <xdr:col>5</xdr:col>
      <xdr:colOff>284690</xdr:colOff>
      <xdr:row>96</xdr:row>
      <xdr:rowOff>28575</xdr:rowOff>
    </xdr:to>
    <xdr:pic>
      <xdr:nvPicPr>
        <xdr:cNvPr id="7" name="Picture 6">
          <a:extLst>
            <a:ext uri="{FF2B5EF4-FFF2-40B4-BE49-F238E27FC236}">
              <a16:creationId xmlns:a16="http://schemas.microsoft.com/office/drawing/2014/main" id="{842C5BE9-6E6D-475D-94DE-4BDE8FB4E1BC}"/>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17621250"/>
          <a:ext cx="3257550" cy="311150"/>
        </a:xfrm>
        <a:prstGeom prst="rect">
          <a:avLst/>
        </a:prstGeom>
        <a:noFill/>
      </xdr:spPr>
    </xdr:pic>
    <xdr:clientData/>
  </xdr:twoCellAnchor>
  <xdr:twoCellAnchor>
    <xdr:from>
      <xdr:col>0</xdr:col>
      <xdr:colOff>62440</xdr:colOff>
      <xdr:row>72</xdr:row>
      <xdr:rowOff>104775</xdr:rowOff>
    </xdr:from>
    <xdr:to>
      <xdr:col>2</xdr:col>
      <xdr:colOff>313265</xdr:colOff>
      <xdr:row>74</xdr:row>
      <xdr:rowOff>57150</xdr:rowOff>
    </xdr:to>
    <xdr:pic>
      <xdr:nvPicPr>
        <xdr:cNvPr id="8" name="Picture 7">
          <a:extLst>
            <a:ext uri="{FF2B5EF4-FFF2-40B4-BE49-F238E27FC236}">
              <a16:creationId xmlns:a16="http://schemas.microsoft.com/office/drawing/2014/main" id="{38C06980-C6A8-44E6-A9DF-31F2A3045AF8}"/>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615" y="13665200"/>
          <a:ext cx="1470025" cy="31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75140</xdr:colOff>
      <xdr:row>7</xdr:row>
      <xdr:rowOff>26458</xdr:rowOff>
    </xdr:from>
    <xdr:to>
      <xdr:col>6</xdr:col>
      <xdr:colOff>19284</xdr:colOff>
      <xdr:row>9</xdr:row>
      <xdr:rowOff>114300</xdr:rowOff>
    </xdr:to>
    <xdr:pic>
      <xdr:nvPicPr>
        <xdr:cNvPr id="9" name="Picture 8">
          <a:extLst>
            <a:ext uri="{FF2B5EF4-FFF2-40B4-BE49-F238E27FC236}">
              <a16:creationId xmlns:a16="http://schemas.microsoft.com/office/drawing/2014/main" id="{601C7ED0-CEF9-44F4-9B29-E1049CC7D487}"/>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140" y="1315508"/>
          <a:ext cx="3601744" cy="446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92075</xdr:colOff>
      <xdr:row>40</xdr:row>
      <xdr:rowOff>0</xdr:rowOff>
    </xdr:from>
    <xdr:to>
      <xdr:col>4</xdr:col>
      <xdr:colOff>606425</xdr:colOff>
      <xdr:row>42</xdr:row>
      <xdr:rowOff>0</xdr:rowOff>
    </xdr:to>
    <xdr:pic>
      <xdr:nvPicPr>
        <xdr:cNvPr id="10" name="Picture 9">
          <a:extLst>
            <a:ext uri="{FF2B5EF4-FFF2-40B4-BE49-F238E27FC236}">
              <a16:creationId xmlns:a16="http://schemas.microsoft.com/office/drawing/2014/main" id="{DA323C10-3600-4947-8820-0D6385DAA1BB}"/>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075" y="7543800"/>
          <a:ext cx="295275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92075</xdr:colOff>
      <xdr:row>43</xdr:row>
      <xdr:rowOff>0</xdr:rowOff>
    </xdr:from>
    <xdr:to>
      <xdr:col>5</xdr:col>
      <xdr:colOff>463550</xdr:colOff>
      <xdr:row>45</xdr:row>
      <xdr:rowOff>0</xdr:rowOff>
    </xdr:to>
    <xdr:pic>
      <xdr:nvPicPr>
        <xdr:cNvPr id="11" name="Picture 10">
          <a:extLst>
            <a:ext uri="{FF2B5EF4-FFF2-40B4-BE49-F238E27FC236}">
              <a16:creationId xmlns:a16="http://schemas.microsoft.com/office/drawing/2014/main" id="{1E1B5D04-E6EB-454A-91FB-2A1E921F3566}"/>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075" y="8086725"/>
          <a:ext cx="342265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92075</xdr:colOff>
      <xdr:row>46</xdr:row>
      <xdr:rowOff>0</xdr:rowOff>
    </xdr:from>
    <xdr:to>
      <xdr:col>4</xdr:col>
      <xdr:colOff>539750</xdr:colOff>
      <xdr:row>47</xdr:row>
      <xdr:rowOff>171450</xdr:rowOff>
    </xdr:to>
    <xdr:pic>
      <xdr:nvPicPr>
        <xdr:cNvPr id="12" name="Picture 11">
          <a:extLst>
            <a:ext uri="{FF2B5EF4-FFF2-40B4-BE49-F238E27FC236}">
              <a16:creationId xmlns:a16="http://schemas.microsoft.com/office/drawing/2014/main" id="{E7054BC7-FF2D-4930-9692-D89FFDC7ECC5}"/>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075" y="8629650"/>
          <a:ext cx="288925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hero.epa.gov/hero/index.cfm/reference/details/reference_id/7485096" TargetMode="External"/><Relationship Id="rId13" Type="http://schemas.openxmlformats.org/officeDocument/2006/relationships/hyperlink" Target="https://hero.epa.gov/hero/index.cfm/reference/details/reference_id/6811897" TargetMode="External"/><Relationship Id="rId18" Type="http://schemas.openxmlformats.org/officeDocument/2006/relationships/hyperlink" Target="https://hero.epa.gov/hero/index.cfm/reference/details/reference_id/7267482" TargetMode="External"/><Relationship Id="rId3" Type="http://schemas.openxmlformats.org/officeDocument/2006/relationships/hyperlink" Target="https://hero.epa.gov/hero/index.cfm/reference/details/reference_id/7267482" TargetMode="External"/><Relationship Id="rId21" Type="http://schemas.openxmlformats.org/officeDocument/2006/relationships/hyperlink" Target="https://hero.epa.gov/hero/index.cfm/reference/details/reference_id/7485096" TargetMode="External"/><Relationship Id="rId7" Type="http://schemas.openxmlformats.org/officeDocument/2006/relationships/hyperlink" Target="https://hero.epa.gov/hero/index.cfm/reference/details/reference_id/7267482" TargetMode="External"/><Relationship Id="rId12" Type="http://schemas.openxmlformats.org/officeDocument/2006/relationships/hyperlink" Target="https://hero.epa.gov/hero/index.cfm/reference/details/reference_id/7485096" TargetMode="External"/><Relationship Id="rId17" Type="http://schemas.openxmlformats.org/officeDocument/2006/relationships/hyperlink" Target="https://hero.epa.gov/hero/index.cfm/reference/details/reference_id/6811897" TargetMode="External"/><Relationship Id="rId2" Type="http://schemas.openxmlformats.org/officeDocument/2006/relationships/hyperlink" Target="https://hero.epa.gov/hero/index.cfm/reference/details/reference_id/4565445" TargetMode="External"/><Relationship Id="rId16" Type="http://schemas.openxmlformats.org/officeDocument/2006/relationships/hyperlink" Target="https://hero.epa.gov/hero/index.cfm/reference/details/reference_id/7485096" TargetMode="External"/><Relationship Id="rId20" Type="http://schemas.openxmlformats.org/officeDocument/2006/relationships/hyperlink" Target="https://hero.epa.gov/hero/index.cfm/reference/details/reference_id/7485096" TargetMode="External"/><Relationship Id="rId1" Type="http://schemas.openxmlformats.org/officeDocument/2006/relationships/hyperlink" Target="https://hero.epa.gov/hero/index.cfm/reference/details/reference_id/7485096" TargetMode="External"/><Relationship Id="rId6" Type="http://schemas.openxmlformats.org/officeDocument/2006/relationships/hyperlink" Target="https://hero.epa.gov/hero/index.cfm/reference/details/reference_id/7485096" TargetMode="External"/><Relationship Id="rId11" Type="http://schemas.openxmlformats.org/officeDocument/2006/relationships/hyperlink" Target="https://hero.epa.gov/hero/index.cfm/reference/details/reference_id/7485096" TargetMode="External"/><Relationship Id="rId5" Type="http://schemas.openxmlformats.org/officeDocument/2006/relationships/hyperlink" Target="https://hero.epa.gov/hero/index.cfm/reference/details/reference_id/7485096" TargetMode="External"/><Relationship Id="rId15" Type="http://schemas.openxmlformats.org/officeDocument/2006/relationships/hyperlink" Target="https://hero.epa.gov/hero/index.cfm/reference/details/reference_id/7485096" TargetMode="External"/><Relationship Id="rId23" Type="http://schemas.openxmlformats.org/officeDocument/2006/relationships/printerSettings" Target="../printerSettings/printerSettings2.bin"/><Relationship Id="rId10" Type="http://schemas.openxmlformats.org/officeDocument/2006/relationships/hyperlink" Target="https://hero.epa.gov/hero/index.cfm/reference/details/reference_id/7485096" TargetMode="External"/><Relationship Id="rId19" Type="http://schemas.openxmlformats.org/officeDocument/2006/relationships/hyperlink" Target="https://hero.epa.gov/hero/index.cfm/reference/details/reference_id/7485096" TargetMode="External"/><Relationship Id="rId4" Type="http://schemas.openxmlformats.org/officeDocument/2006/relationships/hyperlink" Target="https://hero.epa.gov/hero/index.cfm/reference/details/reference_id/7485096" TargetMode="External"/><Relationship Id="rId9" Type="http://schemas.openxmlformats.org/officeDocument/2006/relationships/hyperlink" Target="https://hero.epa.gov/hero/index.cfm/reference/details/reference_id/4565445" TargetMode="External"/><Relationship Id="rId14" Type="http://schemas.openxmlformats.org/officeDocument/2006/relationships/hyperlink" Target="https://hero.epa.gov/hero/index.cfm/reference/details/reference_id/7485096" TargetMode="External"/><Relationship Id="rId22" Type="http://schemas.openxmlformats.org/officeDocument/2006/relationships/hyperlink" Target="https://hero.epa.gov/hero/index.cfm/reference/details/reference_id/6811897"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B17B-2434-4891-B8B9-211D0A57875E}">
  <dimension ref="A1:A13"/>
  <sheetViews>
    <sheetView showGridLines="0" tabSelected="1" zoomScaleNormal="100" workbookViewId="0">
      <selection activeCell="A2" sqref="A2"/>
    </sheetView>
  </sheetViews>
  <sheetFormatPr defaultRowHeight="15" x14ac:dyDescent="0.25"/>
  <cols>
    <col min="1" max="1" width="112.7109375" customWidth="1"/>
  </cols>
  <sheetData>
    <row r="1" spans="1:1" ht="20.25" x14ac:dyDescent="0.3">
      <c r="A1" s="79" t="s">
        <v>277</v>
      </c>
    </row>
    <row r="2" spans="1:1" x14ac:dyDescent="0.25">
      <c r="A2" s="75"/>
    </row>
    <row r="3" spans="1:1" ht="18.75" x14ac:dyDescent="0.25">
      <c r="A3" s="76" t="s">
        <v>0</v>
      </c>
    </row>
    <row r="4" spans="1:1" ht="15.75" x14ac:dyDescent="0.25">
      <c r="A4" s="77"/>
    </row>
    <row r="5" spans="1:1" x14ac:dyDescent="0.25">
      <c r="A5" s="75"/>
    </row>
    <row r="6" spans="1:1" x14ac:dyDescent="0.25">
      <c r="A6" s="75"/>
    </row>
    <row r="7" spans="1:1" x14ac:dyDescent="0.25">
      <c r="A7" s="75"/>
    </row>
    <row r="8" spans="1:1" x14ac:dyDescent="0.25">
      <c r="A8" s="75"/>
    </row>
    <row r="9" spans="1:1" x14ac:dyDescent="0.25">
      <c r="A9" s="75"/>
    </row>
    <row r="10" spans="1:1" x14ac:dyDescent="0.25">
      <c r="A10" s="75"/>
    </row>
    <row r="13" spans="1:1" ht="15.75" x14ac:dyDescent="0.25">
      <c r="A13" s="78"/>
    </row>
  </sheetData>
  <sheetProtection sheet="1" objects="1" scenarios="1" formatCells="0" formatColumns="0" formatRows="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2:AF21"/>
  <sheetViews>
    <sheetView zoomScale="110" zoomScaleNormal="110" workbookViewId="0">
      <selection activeCell="D6" sqref="D6"/>
    </sheetView>
  </sheetViews>
  <sheetFormatPr defaultRowHeight="15" x14ac:dyDescent="0.25"/>
  <cols>
    <col min="2" max="2" width="19.42578125" customWidth="1"/>
    <col min="3" max="3" width="22" customWidth="1"/>
    <col min="4" max="4" width="21.7109375" customWidth="1"/>
    <col min="5" max="5" width="10.42578125" customWidth="1"/>
    <col min="6" max="6" width="13.140625" customWidth="1"/>
    <col min="7" max="8" width="14.7109375" customWidth="1"/>
    <col min="9" max="9" width="18.5703125" customWidth="1"/>
    <col min="10" max="10" width="15.85546875" customWidth="1"/>
    <col min="11" max="11" width="13.85546875" customWidth="1"/>
    <col min="12" max="13" width="14" customWidth="1"/>
    <col min="14" max="14" width="15.42578125" customWidth="1"/>
    <col min="15" max="17" width="14.5703125" customWidth="1"/>
    <col min="18" max="18" width="13.140625" customWidth="1"/>
    <col min="19" max="20" width="12.28515625" customWidth="1"/>
    <col min="21" max="21" width="15.140625" customWidth="1"/>
    <col min="22" max="23" width="11.5703125" customWidth="1"/>
    <col min="24" max="24" width="18.85546875" customWidth="1"/>
    <col min="25" max="25" width="19.42578125" customWidth="1"/>
    <col min="26" max="26" width="15.42578125" customWidth="1"/>
    <col min="27" max="27" width="16.5703125" customWidth="1"/>
    <col min="28" max="28" width="10.85546875" customWidth="1"/>
  </cols>
  <sheetData>
    <row r="2" spans="2:32" x14ac:dyDescent="0.25">
      <c r="E2" s="20" t="s">
        <v>1</v>
      </c>
      <c r="F2" s="20"/>
      <c r="G2" s="20">
        <f>D6/0.9894</f>
        <v>27.713765918738634</v>
      </c>
      <c r="H2" s="20"/>
      <c r="I2" s="20"/>
      <c r="J2" t="s">
        <v>2</v>
      </c>
      <c r="K2" s="55">
        <f t="shared" ref="K2:AA2" si="0">K6/0.9894</f>
        <v>3.3656761673741668E-5</v>
      </c>
      <c r="L2" s="55">
        <f t="shared" si="0"/>
        <v>7.6511016777845172E-6</v>
      </c>
      <c r="M2" s="55"/>
      <c r="N2" s="55">
        <f t="shared" si="0"/>
        <v>2.1629270264806954E-4</v>
      </c>
      <c r="O2" s="55">
        <f t="shared" si="0"/>
        <v>2.1629270264806954E-4</v>
      </c>
      <c r="P2" s="55"/>
      <c r="Q2" s="55"/>
      <c r="R2" s="55">
        <f t="shared" si="0"/>
        <v>9.5007074994946431E-5</v>
      </c>
      <c r="S2" s="55">
        <f t="shared" si="0"/>
        <v>2.6278552658176675E-7</v>
      </c>
      <c r="T2" s="55">
        <f t="shared" si="0"/>
        <v>1.4756418031129978E-4</v>
      </c>
      <c r="U2" s="55">
        <f t="shared" si="0"/>
        <v>4.0428542551041036E-7</v>
      </c>
      <c r="V2" s="55">
        <f t="shared" si="0"/>
        <v>9.5007074994946431E-5</v>
      </c>
      <c r="W2" s="55">
        <f t="shared" si="0"/>
        <v>2.6278552658176675E-7</v>
      </c>
      <c r="X2" s="55">
        <f t="shared" si="0"/>
        <v>1.1117849201536286E-3</v>
      </c>
      <c r="Y2" s="55">
        <f t="shared" si="0"/>
        <v>2.9310693349504755E-4</v>
      </c>
      <c r="Z2" s="55">
        <f t="shared" si="0"/>
        <v>3.9417828987265008E-3</v>
      </c>
      <c r="AA2" s="55">
        <f t="shared" si="0"/>
        <v>7.479280371942592E-4</v>
      </c>
      <c r="AD2" s="55">
        <f t="shared" ref="AD2" si="1">AD6/0.9894</f>
        <v>9.5686836120569247E-6</v>
      </c>
    </row>
    <row r="4" spans="2:32" x14ac:dyDescent="0.25">
      <c r="E4" s="104" t="s">
        <v>3</v>
      </c>
      <c r="F4" s="104"/>
      <c r="G4" s="105"/>
      <c r="H4" s="82"/>
      <c r="I4" s="108" t="s">
        <v>4</v>
      </c>
      <c r="J4" s="102" t="s">
        <v>5</v>
      </c>
      <c r="K4" s="99" t="s">
        <v>6</v>
      </c>
      <c r="L4" s="101"/>
      <c r="M4" s="80"/>
      <c r="N4" s="69" t="s">
        <v>7</v>
      </c>
      <c r="O4" s="71"/>
      <c r="P4" s="71"/>
      <c r="Q4" s="70"/>
      <c r="R4" s="99" t="s">
        <v>8</v>
      </c>
      <c r="S4" s="101"/>
      <c r="T4" s="99" t="s">
        <v>9</v>
      </c>
      <c r="U4" s="101"/>
      <c r="V4" s="106" t="s">
        <v>10</v>
      </c>
      <c r="W4" s="107"/>
      <c r="X4" s="99" t="s">
        <v>11</v>
      </c>
      <c r="Y4" s="101"/>
      <c r="Z4" s="99" t="s">
        <v>12</v>
      </c>
      <c r="AA4" s="100"/>
      <c r="AB4" s="100"/>
      <c r="AC4" s="100"/>
      <c r="AD4" s="100"/>
      <c r="AE4" s="101"/>
    </row>
    <row r="5" spans="2:32" ht="48" customHeight="1" x14ac:dyDescent="0.25">
      <c r="B5" s="53" t="s">
        <v>4</v>
      </c>
      <c r="C5" s="50" t="s">
        <v>5</v>
      </c>
      <c r="D5" s="60" t="s">
        <v>13</v>
      </c>
      <c r="E5" s="57" t="s">
        <v>14</v>
      </c>
      <c r="F5" s="57" t="s">
        <v>15</v>
      </c>
      <c r="G5" s="57" t="s">
        <v>16</v>
      </c>
      <c r="H5" s="72" t="s">
        <v>17</v>
      </c>
      <c r="I5" s="109"/>
      <c r="J5" s="103"/>
      <c r="K5" s="57" t="s">
        <v>18</v>
      </c>
      <c r="L5" s="57" t="s">
        <v>19</v>
      </c>
      <c r="M5" s="57"/>
      <c r="N5" s="57" t="s">
        <v>20</v>
      </c>
      <c r="O5" s="57" t="s">
        <v>21</v>
      </c>
      <c r="P5" s="57" t="s">
        <v>22</v>
      </c>
      <c r="Q5" s="57" t="s">
        <v>23</v>
      </c>
      <c r="R5" s="57" t="s">
        <v>20</v>
      </c>
      <c r="S5" s="57" t="s">
        <v>24</v>
      </c>
      <c r="T5" s="57" t="s">
        <v>25</v>
      </c>
      <c r="U5" s="57" t="s">
        <v>26</v>
      </c>
      <c r="V5" s="81" t="s">
        <v>27</v>
      </c>
      <c r="W5" s="58" t="s">
        <v>28</v>
      </c>
      <c r="X5" s="66" t="s">
        <v>27</v>
      </c>
      <c r="Y5" s="66" t="s">
        <v>28</v>
      </c>
      <c r="Z5" s="66" t="s">
        <v>27</v>
      </c>
      <c r="AA5" s="66" t="s">
        <v>28</v>
      </c>
      <c r="AB5" s="66" t="s">
        <v>22</v>
      </c>
      <c r="AC5" s="66" t="s">
        <v>23</v>
      </c>
      <c r="AD5" s="66" t="s">
        <v>29</v>
      </c>
      <c r="AE5" s="74" t="s">
        <v>30</v>
      </c>
      <c r="AF5" s="74" t="s">
        <v>30</v>
      </c>
    </row>
    <row r="6" spans="2:32" ht="61.5" customHeight="1" thickTop="1" thickBot="1" x14ac:dyDescent="0.3">
      <c r="B6" s="51" t="s">
        <v>31</v>
      </c>
      <c r="C6" s="52">
        <v>0.98939999999999995</v>
      </c>
      <c r="D6" s="97">
        <v>27.42</v>
      </c>
      <c r="E6" s="3"/>
      <c r="F6" s="3">
        <v>6.2E-2</v>
      </c>
      <c r="G6" s="67">
        <v>19.899999999999999</v>
      </c>
      <c r="H6" s="68">
        <v>6.5</v>
      </c>
      <c r="I6" s="61" t="s">
        <v>32</v>
      </c>
      <c r="J6" s="52">
        <v>0.98939999999999995</v>
      </c>
      <c r="K6" s="56">
        <v>3.3300000000000003E-5</v>
      </c>
      <c r="L6" s="56">
        <v>7.5700000000000004E-6</v>
      </c>
      <c r="M6" s="56"/>
      <c r="N6" s="56">
        <v>2.14E-4</v>
      </c>
      <c r="O6" s="56">
        <v>2.14E-4</v>
      </c>
      <c r="P6" s="56">
        <f>$G6/$N6</f>
        <v>92990.654205607469</v>
      </c>
      <c r="Q6" s="56">
        <f>$H6/$O6</f>
        <v>30373.831775700935</v>
      </c>
      <c r="R6" s="56">
        <v>9.3999999999999994E-5</v>
      </c>
      <c r="S6" s="56">
        <v>2.6E-7</v>
      </c>
      <c r="T6" s="56">
        <v>1.46E-4</v>
      </c>
      <c r="U6" s="56">
        <v>3.9999999999999998E-7</v>
      </c>
      <c r="V6" s="56">
        <v>9.3999999999999994E-5</v>
      </c>
      <c r="W6" s="56">
        <v>2.6E-7</v>
      </c>
      <c r="X6" s="54">
        <v>1.1000000000000001E-3</v>
      </c>
      <c r="Y6" s="54">
        <v>2.9E-4</v>
      </c>
      <c r="Z6" s="54">
        <v>3.8999999999999998E-3</v>
      </c>
      <c r="AA6" s="54">
        <v>7.3999999999999999E-4</v>
      </c>
      <c r="AB6" s="54">
        <f>$G6/$Z6</f>
        <v>5102.5641025641025</v>
      </c>
      <c r="AC6" s="54">
        <f>$H6/$AA6</f>
        <v>8783.7837837837833</v>
      </c>
      <c r="AD6" s="54">
        <f>D6*('Exposure Inputs'!$D$7*'Exposure Inputs'!$D$12*'Exposure Inputs'!$C$15*350)/('Exposure Inputs'!$D$8*'Exposure Inputs'!$C$14*'Exposure Inputs'!C$16)</f>
        <v>9.4672555657691199E-6</v>
      </c>
      <c r="AE6" s="54">
        <f t="shared" ref="AE6:AE7" si="2">$F6*AD6</f>
        <v>5.8696984507768546E-7</v>
      </c>
      <c r="AF6" s="54">
        <v>8.4100000000000008E-6</v>
      </c>
    </row>
    <row r="7" spans="2:32" ht="15.75" thickBot="1" x14ac:dyDescent="0.3">
      <c r="B7" s="51" t="s">
        <v>33</v>
      </c>
      <c r="C7" s="52">
        <v>2.9099999999999998E-3</v>
      </c>
      <c r="D7" s="98">
        <v>6.6752927400992104E-2</v>
      </c>
      <c r="E7" s="2"/>
      <c r="F7" s="2">
        <v>6.2E-2</v>
      </c>
      <c r="G7" s="68">
        <v>19.899999999999999</v>
      </c>
      <c r="H7" s="68">
        <v>6.5</v>
      </c>
      <c r="I7" s="62" t="s">
        <v>33</v>
      </c>
      <c r="J7" s="52">
        <v>2.9099999999999998E-3</v>
      </c>
      <c r="K7" s="54">
        <f>$K$2*J7</f>
        <v>9.7941176470588245E-8</v>
      </c>
      <c r="L7" s="54">
        <f>$L$2*J7</f>
        <v>2.2264705882352944E-8</v>
      </c>
      <c r="M7" s="54"/>
      <c r="N7" s="54">
        <f>$N$2*J7</f>
        <v>6.2941176470588228E-7</v>
      </c>
      <c r="O7" s="54">
        <f>$O$2*J7</f>
        <v>6.2941176470588228E-7</v>
      </c>
      <c r="P7" s="56">
        <f>$G7/$N7</f>
        <v>31616822.429906543</v>
      </c>
      <c r="Q7" s="56">
        <f t="shared" ref="Q7:Q11" si="3">$H7/$O7</f>
        <v>10327102.803738318</v>
      </c>
      <c r="R7" s="54">
        <f>$R$2*J7</f>
        <v>2.7647058823529411E-7</v>
      </c>
      <c r="S7" s="54">
        <f>$S$2*J7</f>
        <v>7.6470588235294119E-10</v>
      </c>
      <c r="T7" s="54">
        <f>$T$2*J7</f>
        <v>4.2941176470588234E-7</v>
      </c>
      <c r="U7" s="54">
        <f>$U$2*J7</f>
        <v>1.176470588235294E-9</v>
      </c>
      <c r="V7" s="54">
        <f>($V$2*$J$7)</f>
        <v>2.7647058823529411E-7</v>
      </c>
      <c r="W7" s="54">
        <f>($W$2*J7)</f>
        <v>7.6470588235294119E-10</v>
      </c>
      <c r="X7" s="54">
        <f>($X$2*J7)</f>
        <v>3.235294117647059E-6</v>
      </c>
      <c r="Y7" s="54">
        <f>($Y$2*J7)</f>
        <v>8.5294117647058831E-7</v>
      </c>
      <c r="Z7" s="54">
        <f>($Z$2*J7)</f>
        <v>1.1470588235294117E-5</v>
      </c>
      <c r="AA7" s="73">
        <f>($AA$2*J7)</f>
        <v>2.1764705882352942E-6</v>
      </c>
      <c r="AB7" s="54">
        <f>$G7/$Z7</f>
        <v>1734871.794871795</v>
      </c>
      <c r="AC7" s="54">
        <f>$H7/$AA7</f>
        <v>2986486.4864864866</v>
      </c>
      <c r="AD7" s="54">
        <f>D7*('Exposure Inputs'!$D$7*'Exposure Inputs'!$D$12*'Exposure Inputs'!$C$15*350)/('Exposure Inputs'!$D$8*'Exposure Inputs'!$C$14*'Exposure Inputs'!C$16)</f>
        <v>2.3047666793159169E-8</v>
      </c>
      <c r="AE7" s="54">
        <f t="shared" si="2"/>
        <v>1.4289553411758684E-9</v>
      </c>
      <c r="AF7" s="54"/>
    </row>
    <row r="8" spans="2:32" ht="15.75" thickBot="1" x14ac:dyDescent="0.3">
      <c r="B8" s="51" t="s">
        <v>34</v>
      </c>
      <c r="C8" s="52">
        <v>3.4999999999999997E-5</v>
      </c>
      <c r="D8" s="98">
        <v>3.0509069911793633E-4</v>
      </c>
      <c r="E8" s="2"/>
      <c r="F8" s="2">
        <v>4.4600000000000001E-2</v>
      </c>
      <c r="G8" s="2">
        <v>1.34</v>
      </c>
      <c r="H8" s="2">
        <v>4.8000000000000001E-2</v>
      </c>
      <c r="I8" s="62" t="s">
        <v>34</v>
      </c>
      <c r="J8" s="52">
        <v>3.4999999999999997E-5</v>
      </c>
      <c r="K8" s="54">
        <f>$K$2*J8</f>
        <v>1.1779866585809582E-9</v>
      </c>
      <c r="L8" s="54">
        <f>$L$2*J8</f>
        <v>2.6778855872245807E-10</v>
      </c>
      <c r="M8" s="54"/>
      <c r="N8" s="54">
        <f>$N$2*J8</f>
        <v>7.5702445926824339E-9</v>
      </c>
      <c r="O8" s="54">
        <f>$O$2*J8</f>
        <v>7.5702445926824339E-9</v>
      </c>
      <c r="P8" s="56">
        <f t="shared" ref="P8:P11" si="4">$G8/$N8</f>
        <v>177008811.74899867</v>
      </c>
      <c r="Q8" s="56">
        <f t="shared" si="3"/>
        <v>6340614.1522029378</v>
      </c>
      <c r="R8" s="54">
        <f>$R$2*J8</f>
        <v>3.3252476248231247E-9</v>
      </c>
      <c r="S8" s="54">
        <f>$S$2*J8</f>
        <v>9.1974934303618358E-12</v>
      </c>
      <c r="T8" s="54">
        <f>$T$2*J8</f>
        <v>5.164746310895492E-9</v>
      </c>
      <c r="U8" s="54">
        <f>$U$2*J8</f>
        <v>1.4149989892864362E-11</v>
      </c>
      <c r="V8" s="54">
        <f>($V$2*J8)</f>
        <v>3.3252476248231247E-9</v>
      </c>
      <c r="W8" s="54">
        <f>($W$2*J8)</f>
        <v>9.1974934303618358E-12</v>
      </c>
      <c r="X8" s="54">
        <f t="shared" ref="X8:X11" si="5">($X$2*J8)</f>
        <v>3.8912472205376998E-8</v>
      </c>
      <c r="Y8" s="54">
        <f t="shared" ref="Y8:Y11" si="6">($Y$2*J8)</f>
        <v>1.0258742672326663E-8</v>
      </c>
      <c r="Z8" s="54">
        <f t="shared" ref="Z8:Z11" si="7">($Z$2*J8)</f>
        <v>1.3796240145542751E-7</v>
      </c>
      <c r="AA8" s="73">
        <f t="shared" ref="AA8:AA11" si="8">($AA$2*J8)</f>
        <v>2.6177481301799071E-8</v>
      </c>
      <c r="AB8" s="54">
        <f t="shared" ref="AB8:AB11" si="9">$G8/$Z8</f>
        <v>9712791.2087912112</v>
      </c>
      <c r="AC8" s="54">
        <f t="shared" ref="AC8:AC11" si="10">$H8/$AA8</f>
        <v>1833637.0656370656</v>
      </c>
      <c r="AD8" s="54">
        <f>D8*('Exposure Inputs'!$D$7*'Exposure Inputs'!$D$12*'Exposure Inputs'!$C$15*350)/('Exposure Inputs'!$D$8*'Exposure Inputs'!$C$14*'Exposure Inputs'!C$16)</f>
        <v>1.0533813345327039E-10</v>
      </c>
      <c r="AE8" s="54">
        <f>$F8*AD8</f>
        <v>4.6980807520158595E-12</v>
      </c>
      <c r="AF8" s="54"/>
    </row>
    <row r="9" spans="2:32" x14ac:dyDescent="0.25">
      <c r="B9" s="51" t="s">
        <v>35</v>
      </c>
      <c r="C9" s="52">
        <v>1.4999999999999999E-4</v>
      </c>
      <c r="D9" s="98">
        <v>8.2580941114629414E-4</v>
      </c>
      <c r="E9" s="2"/>
      <c r="F9" s="2">
        <v>2E-3</v>
      </c>
      <c r="G9" s="2">
        <v>2.1</v>
      </c>
      <c r="H9" s="2">
        <v>6.2</v>
      </c>
      <c r="I9" s="62" t="s">
        <v>35</v>
      </c>
      <c r="J9" s="52">
        <v>1.4999999999999999E-4</v>
      </c>
      <c r="K9" s="54">
        <f>$K$2*J9</f>
        <v>5.0485142510612497E-9</v>
      </c>
      <c r="L9" s="54">
        <f>$L$2*J9</f>
        <v>1.1476652516676776E-9</v>
      </c>
      <c r="M9" s="54"/>
      <c r="N9" s="54">
        <f>$N$2*J9</f>
        <v>3.2443905397210425E-8</v>
      </c>
      <c r="O9" s="54">
        <f>$O$2*J9</f>
        <v>3.2443905397210425E-8</v>
      </c>
      <c r="P9" s="56">
        <f t="shared" si="4"/>
        <v>64727102.803738333</v>
      </c>
      <c r="Q9" s="56">
        <f t="shared" si="3"/>
        <v>191099065.42056078</v>
      </c>
      <c r="R9" s="54">
        <f>$R$2*J9</f>
        <v>1.4251061249241964E-8</v>
      </c>
      <c r="S9" s="54">
        <f>$S$2*J9</f>
        <v>3.941782898726501E-11</v>
      </c>
      <c r="T9" s="54">
        <f>$T$2*J9</f>
        <v>2.2134627046694967E-8</v>
      </c>
      <c r="U9" s="54">
        <f>$U$2*J9</f>
        <v>6.0642813826561544E-11</v>
      </c>
      <c r="V9" s="54">
        <f>($V$2*J9)</f>
        <v>1.4251061249241964E-8</v>
      </c>
      <c r="W9" s="54">
        <f>($W$2*J9)</f>
        <v>3.941782898726501E-11</v>
      </c>
      <c r="X9" s="54">
        <f t="shared" si="5"/>
        <v>1.6676773802304428E-7</v>
      </c>
      <c r="Y9" s="54">
        <f t="shared" si="6"/>
        <v>4.3966040024257129E-8</v>
      </c>
      <c r="Z9" s="54">
        <f t="shared" si="7"/>
        <v>5.912674348089751E-7</v>
      </c>
      <c r="AA9" s="73">
        <f t="shared" si="8"/>
        <v>1.1218920557913887E-7</v>
      </c>
      <c r="AB9" s="54">
        <f t="shared" si="9"/>
        <v>3551692.307692308</v>
      </c>
      <c r="AC9" s="54">
        <f t="shared" si="10"/>
        <v>55263783.783783786</v>
      </c>
      <c r="AD9" s="54">
        <f>D9*('Exposure Inputs'!$D$7*'Exposure Inputs'!$D$12*'Exposure Inputs'!$C$15*350)/('Exposure Inputs'!$D$8*'Exposure Inputs'!$C$14*'Exposure Inputs'!C$16)</f>
        <v>2.8512577476073204E-10</v>
      </c>
      <c r="AE9" s="54">
        <f t="shared" ref="AE9:AE11" si="11">$F9*AD9</f>
        <v>5.7025154952146411E-13</v>
      </c>
      <c r="AF9" s="54"/>
    </row>
    <row r="10" spans="2:32" x14ac:dyDescent="0.25">
      <c r="B10" s="51" t="s">
        <v>36</v>
      </c>
      <c r="C10" s="52">
        <v>9.990000000000001E-4</v>
      </c>
      <c r="D10" s="98">
        <v>1.9707941597006312E-2</v>
      </c>
      <c r="E10" s="2"/>
      <c r="F10" s="54">
        <v>3.1999999999999999E-5</v>
      </c>
      <c r="G10" s="2">
        <v>32</v>
      </c>
      <c r="H10" s="2">
        <v>3</v>
      </c>
      <c r="I10" s="62" t="s">
        <v>36</v>
      </c>
      <c r="J10" s="52">
        <v>9.990000000000001E-4</v>
      </c>
      <c r="K10" s="54">
        <f>$K$2*J10</f>
        <v>3.3623104912067928E-8</v>
      </c>
      <c r="L10" s="54">
        <f>$L$2*J10</f>
        <v>7.6434505761067332E-9</v>
      </c>
      <c r="M10" s="54"/>
      <c r="N10" s="54">
        <f>$N$2*J10</f>
        <v>2.160764099454215E-7</v>
      </c>
      <c r="O10" s="54">
        <f>$O$2*J10</f>
        <v>2.160764099454215E-7</v>
      </c>
      <c r="P10" s="56">
        <f t="shared" si="4"/>
        <v>148095759.31071255</v>
      </c>
      <c r="Q10" s="56">
        <f t="shared" si="3"/>
        <v>13883977.435379302</v>
      </c>
      <c r="R10" s="54">
        <f>$R$2*J10</f>
        <v>9.49120679199515E-8</v>
      </c>
      <c r="S10" s="54">
        <f>$S$2*J10</f>
        <v>2.6252274105518503E-10</v>
      </c>
      <c r="T10" s="54">
        <f>$T$2*J10</f>
        <v>1.474166161309885E-7</v>
      </c>
      <c r="U10" s="54">
        <f>$U$2*J10</f>
        <v>4.0388114008489997E-10</v>
      </c>
      <c r="V10" s="54">
        <f>($V$2*J10)</f>
        <v>9.49120679199515E-8</v>
      </c>
      <c r="W10" s="54">
        <f>($W$2*J10)</f>
        <v>2.6252274105518503E-10</v>
      </c>
      <c r="X10" s="54">
        <f t="shared" si="5"/>
        <v>1.1106731352334752E-6</v>
      </c>
      <c r="Y10" s="54">
        <f t="shared" si="6"/>
        <v>2.928138265615525E-7</v>
      </c>
      <c r="Z10" s="54">
        <f t="shared" si="7"/>
        <v>3.9378411158277748E-6</v>
      </c>
      <c r="AA10" s="73">
        <f t="shared" si="8"/>
        <v>7.4718010915706497E-7</v>
      </c>
      <c r="AB10" s="54">
        <f t="shared" si="9"/>
        <v>8126280.1262801252</v>
      </c>
      <c r="AC10" s="54">
        <f t="shared" si="10"/>
        <v>4015096.1772583388</v>
      </c>
      <c r="AD10" s="54">
        <f>D10*('Exposure Inputs'!$D$7*'Exposure Inputs'!$D$12*'Exposure Inputs'!$C$15*350)/('Exposure Inputs'!$D$8*'Exposure Inputs'!$C$14*'Exposure Inputs'!C$16)</f>
        <v>6.80452661466487E-9</v>
      </c>
      <c r="AE10" s="54">
        <f t="shared" si="11"/>
        <v>2.1774485166927583E-13</v>
      </c>
      <c r="AF10" s="54"/>
    </row>
    <row r="11" spans="2:32" x14ac:dyDescent="0.25">
      <c r="B11" s="51" t="s">
        <v>37</v>
      </c>
      <c r="C11" s="52">
        <v>1.5E-3</v>
      </c>
      <c r="D11" s="98">
        <v>5.5053960743086244E-3</v>
      </c>
      <c r="E11" s="63">
        <v>4.0000000000000001E-3</v>
      </c>
      <c r="F11" s="63">
        <v>0.05</v>
      </c>
      <c r="G11" s="64">
        <v>17</v>
      </c>
      <c r="H11" s="2">
        <v>1.7</v>
      </c>
      <c r="I11" s="62" t="s">
        <v>37</v>
      </c>
      <c r="J11" s="52">
        <v>1.5E-3</v>
      </c>
      <c r="K11" s="54">
        <f>$K$2*J11</f>
        <v>5.0485142510612501E-8</v>
      </c>
      <c r="L11" s="54">
        <f>$L$2*J11</f>
        <v>1.1476652516676776E-8</v>
      </c>
      <c r="M11" s="54"/>
      <c r="N11" s="54">
        <f>$N$2*J11</f>
        <v>3.2443905397210431E-7</v>
      </c>
      <c r="O11" s="54">
        <f>$O$2*J11</f>
        <v>3.2443905397210431E-7</v>
      </c>
      <c r="P11" s="56">
        <f t="shared" si="4"/>
        <v>52398130.841121495</v>
      </c>
      <c r="Q11" s="56">
        <f t="shared" si="3"/>
        <v>5239813.0841121497</v>
      </c>
      <c r="R11" s="54">
        <f>$R$2*J11</f>
        <v>1.4251061249241966E-7</v>
      </c>
      <c r="S11" s="54">
        <f>$S$2*J11</f>
        <v>3.9417828987265013E-10</v>
      </c>
      <c r="T11" s="54">
        <f>$T$2*J11</f>
        <v>2.2134627046694968E-7</v>
      </c>
      <c r="U11" s="54">
        <f>$U$2*J11</f>
        <v>6.064281382656156E-10</v>
      </c>
      <c r="V11" s="54">
        <f>($V$2*J11)</f>
        <v>1.4251061249241966E-7</v>
      </c>
      <c r="W11" s="54">
        <f>($W$2*J11)</f>
        <v>3.9417828987265013E-10</v>
      </c>
      <c r="X11" s="54">
        <f t="shared" si="5"/>
        <v>1.667677380230443E-6</v>
      </c>
      <c r="Y11" s="54">
        <f t="shared" si="6"/>
        <v>4.3966040024257131E-7</v>
      </c>
      <c r="Z11" s="54">
        <f t="shared" si="7"/>
        <v>5.9126743480897515E-6</v>
      </c>
      <c r="AA11" s="73">
        <f t="shared" si="8"/>
        <v>1.1218920557913889E-6</v>
      </c>
      <c r="AB11" s="54">
        <f t="shared" si="9"/>
        <v>2875179.487179487</v>
      </c>
      <c r="AC11" s="54">
        <f t="shared" si="10"/>
        <v>1515297.297297297</v>
      </c>
      <c r="AD11" s="54">
        <f>D11*('Exposure Inputs'!$D$7*'Exposure Inputs'!$D$12*'Exposure Inputs'!$C$15*350)/('Exposure Inputs'!$D$8*'Exposure Inputs'!$C$14*'Exposure Inputs'!C$16)</f>
        <v>1.9008384984048787E-9</v>
      </c>
      <c r="AE11" s="54">
        <f t="shared" si="11"/>
        <v>9.5041924920243939E-11</v>
      </c>
      <c r="AF11" s="54"/>
    </row>
    <row r="12" spans="2:32" x14ac:dyDescent="0.25">
      <c r="D12" t="s">
        <v>38</v>
      </c>
      <c r="E12" s="1">
        <v>6.9999999999999999E-4</v>
      </c>
      <c r="F12" s="1"/>
    </row>
    <row r="13" spans="2:32" x14ac:dyDescent="0.25">
      <c r="G13" s="59">
        <f>G11/V11</f>
        <v>119289361.70212765</v>
      </c>
      <c r="H13" s="59"/>
      <c r="I13" s="9" t="s">
        <v>39</v>
      </c>
    </row>
    <row r="14" spans="2:32" x14ac:dyDescent="0.25">
      <c r="I14" s="65"/>
    </row>
    <row r="15" spans="2:32" x14ac:dyDescent="0.25">
      <c r="E15">
        <f>D16/0.9894</f>
        <v>13985.999943774876</v>
      </c>
      <c r="G15" t="s">
        <v>274</v>
      </c>
      <c r="H15" t="s">
        <v>275</v>
      </c>
      <c r="J15">
        <f>I16/0.9894</f>
        <v>27.710414003327848</v>
      </c>
    </row>
    <row r="16" spans="2:32" x14ac:dyDescent="0.25">
      <c r="C16" t="s">
        <v>276</v>
      </c>
      <c r="D16">
        <f>8358/(1-0.396)</f>
        <v>13837.748344370861</v>
      </c>
      <c r="F16">
        <f>D16*(1-0.396)</f>
        <v>8358</v>
      </c>
      <c r="G16">
        <f>21106*0.396</f>
        <v>8357.9760000000006</v>
      </c>
      <c r="H16">
        <f>G16/350</f>
        <v>23.879931428571432</v>
      </c>
      <c r="I16">
        <f>(H16*1000000000)/(871000000)</f>
        <v>27.416683614892573</v>
      </c>
    </row>
    <row r="17" spans="3:9" x14ac:dyDescent="0.25">
      <c r="C17" t="s">
        <v>273</v>
      </c>
      <c r="E17">
        <f>E15*0.00291</f>
        <v>40.699259836384883</v>
      </c>
      <c r="G17">
        <f>E17*0.5</f>
        <v>20.349629918192441</v>
      </c>
      <c r="H17">
        <f t="shared" ref="H17:H21" si="12">G17/350</f>
        <v>5.8141799766264116E-2</v>
      </c>
      <c r="I17" s="1">
        <f t="shared" ref="I17:I21" si="13">(H17*1000000000)/(871000000)</f>
        <v>6.6752927400992104E-2</v>
      </c>
    </row>
    <row r="18" spans="3:9" x14ac:dyDescent="0.25">
      <c r="C18" t="s">
        <v>269</v>
      </c>
      <c r="E18">
        <f>$E$15*0.000035</f>
        <v>0.48950999803212059</v>
      </c>
      <c r="G18">
        <f>E18*(1-0.81)</f>
        <v>9.3006899626102882E-2</v>
      </c>
      <c r="H18">
        <f t="shared" si="12"/>
        <v>2.6573399893172254E-4</v>
      </c>
      <c r="I18" s="1">
        <f t="shared" si="13"/>
        <v>3.0509069911793633E-4</v>
      </c>
    </row>
    <row r="19" spans="3:9" x14ac:dyDescent="0.25">
      <c r="C19" t="s">
        <v>270</v>
      </c>
      <c r="E19">
        <f>$E$15*0.00015</f>
        <v>2.0978999915662313</v>
      </c>
      <c r="G19">
        <f>E19*(1-0.88)</f>
        <v>0.25174799898794775</v>
      </c>
      <c r="H19">
        <f t="shared" si="12"/>
        <v>7.1927999710842217E-4</v>
      </c>
      <c r="I19" s="1">
        <f t="shared" si="13"/>
        <v>8.2580941114629414E-4</v>
      </c>
    </row>
    <row r="20" spans="3:9" x14ac:dyDescent="0.25">
      <c r="C20" t="s">
        <v>271</v>
      </c>
      <c r="E20">
        <f>$E$15*0.000999</f>
        <v>13.972013943831103</v>
      </c>
      <c r="G20">
        <f>E20*(1-0.57)</f>
        <v>6.0079659958473748</v>
      </c>
      <c r="H20">
        <f t="shared" si="12"/>
        <v>1.7165617130992499E-2</v>
      </c>
      <c r="I20" s="1">
        <f t="shared" si="13"/>
        <v>1.9707941597006312E-2</v>
      </c>
    </row>
    <row r="21" spans="3:9" x14ac:dyDescent="0.25">
      <c r="C21" t="s">
        <v>272</v>
      </c>
      <c r="E21">
        <f>$E$15*0.0015</f>
        <v>20.978999915662314</v>
      </c>
      <c r="G21">
        <f>E21*(1-0.92)</f>
        <v>1.6783199932529842</v>
      </c>
      <c r="H21">
        <f t="shared" si="12"/>
        <v>4.795199980722812E-3</v>
      </c>
      <c r="I21" s="1">
        <f t="shared" si="13"/>
        <v>5.5053960743086244E-3</v>
      </c>
    </row>
  </sheetData>
  <sheetProtection sheet="1" objects="1" scenarios="1" formatCells="0" formatColumns="0" formatRows="0"/>
  <mergeCells count="9">
    <mergeCell ref="Z4:AE4"/>
    <mergeCell ref="J4:J5"/>
    <mergeCell ref="E4:G4"/>
    <mergeCell ref="R4:S4"/>
    <mergeCell ref="V4:W4"/>
    <mergeCell ref="T4:U4"/>
    <mergeCell ref="K4:L4"/>
    <mergeCell ref="I4:I5"/>
    <mergeCell ref="X4:Y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789FF-2926-496E-BED2-7B73CD9D08A1}">
  <dimension ref="A3:M92"/>
  <sheetViews>
    <sheetView workbookViewId="0"/>
  </sheetViews>
  <sheetFormatPr defaultColWidth="8.7109375" defaultRowHeight="15" x14ac:dyDescent="0.25"/>
  <cols>
    <col min="1" max="1" width="19.140625" customWidth="1"/>
    <col min="2" max="2" width="25.42578125" customWidth="1"/>
    <col min="3" max="3" width="12" customWidth="1"/>
    <col min="4" max="8" width="10.5703125" customWidth="1"/>
    <col min="9" max="12" width="24.7109375" customWidth="1"/>
    <col min="13" max="13" width="24" customWidth="1"/>
  </cols>
  <sheetData>
    <row r="3" spans="1:13" ht="14.1" customHeight="1" x14ac:dyDescent="0.25"/>
    <row r="4" spans="1:13" x14ac:dyDescent="0.25">
      <c r="A4" s="20" t="s">
        <v>40</v>
      </c>
      <c r="B4" s="21"/>
    </row>
    <row r="5" spans="1:13" ht="45.75" thickBot="1" x14ac:dyDescent="0.3">
      <c r="A5" s="92" t="s">
        <v>41</v>
      </c>
      <c r="B5" s="92" t="s">
        <v>42</v>
      </c>
      <c r="C5" s="89" t="s">
        <v>43</v>
      </c>
      <c r="D5" s="89" t="s">
        <v>44</v>
      </c>
      <c r="E5" s="89" t="s">
        <v>45</v>
      </c>
      <c r="F5" s="89" t="s">
        <v>46</v>
      </c>
      <c r="G5" s="89" t="s">
        <v>47</v>
      </c>
      <c r="H5" s="89" t="s">
        <v>48</v>
      </c>
      <c r="I5" s="116" t="s">
        <v>49</v>
      </c>
      <c r="J5" s="117"/>
      <c r="K5" s="117"/>
      <c r="L5" s="118"/>
      <c r="M5" s="89" t="s">
        <v>50</v>
      </c>
    </row>
    <row r="6" spans="1:13" ht="30.75" thickTop="1" x14ac:dyDescent="0.25">
      <c r="A6" s="22" t="s">
        <v>51</v>
      </c>
      <c r="B6" s="86" t="s">
        <v>52</v>
      </c>
      <c r="C6" s="23">
        <f>3.353*((50-21)/(78-21))+3.081*((78-50)/(78-21))</f>
        <v>3.2193859649122807</v>
      </c>
      <c r="D6" s="22">
        <v>1.1060000000000001</v>
      </c>
      <c r="E6" s="22">
        <v>2.214</v>
      </c>
      <c r="F6" s="22">
        <v>1.7609999999999999</v>
      </c>
      <c r="G6" s="22">
        <v>1.258</v>
      </c>
      <c r="H6" s="23">
        <f>(658*(1/5)+901*(1/5)+836*(3/5))/1000</f>
        <v>0.81340000000000001</v>
      </c>
      <c r="I6" s="119" t="s">
        <v>53</v>
      </c>
      <c r="J6" s="119"/>
      <c r="K6" s="119"/>
      <c r="L6" s="119"/>
      <c r="M6" s="24" t="s">
        <v>54</v>
      </c>
    </row>
    <row r="7" spans="1:13" ht="30" x14ac:dyDescent="0.25">
      <c r="A7" s="88" t="s">
        <v>55</v>
      </c>
      <c r="B7" s="85" t="s">
        <v>56</v>
      </c>
      <c r="C7" s="25">
        <f>0.858*((50-21)/(78-21))+0.902*((78-50)/(78-21))</f>
        <v>0.87961403508771929</v>
      </c>
      <c r="D7" s="25">
        <v>0.22</v>
      </c>
      <c r="E7" s="88">
        <v>0.436</v>
      </c>
      <c r="F7" s="88">
        <v>0.315</v>
      </c>
      <c r="G7" s="88">
        <v>0.29399999999999998</v>
      </c>
      <c r="H7" s="25">
        <f>(146*(1/5)+205*(1/5)+208*(3/5))/1000</f>
        <v>0.19500000000000001</v>
      </c>
      <c r="I7" s="115" t="s">
        <v>57</v>
      </c>
      <c r="J7" s="115"/>
      <c r="K7" s="115"/>
      <c r="L7" s="115"/>
      <c r="M7" s="24" t="s">
        <v>54</v>
      </c>
    </row>
    <row r="8" spans="1:13" x14ac:dyDescent="0.25">
      <c r="A8" s="88" t="s">
        <v>58</v>
      </c>
      <c r="B8" s="85" t="s">
        <v>59</v>
      </c>
      <c r="C8" s="88">
        <v>80</v>
      </c>
      <c r="D8" s="26">
        <f>4.8*(1/12)+5.9*(2/12)+7.4*(3/12)+9.2*(6/12)</f>
        <v>7.833333333333333</v>
      </c>
      <c r="E8" s="88">
        <v>71.599999999999994</v>
      </c>
      <c r="F8" s="88">
        <v>56.8</v>
      </c>
      <c r="G8" s="88">
        <v>31.8</v>
      </c>
      <c r="H8" s="88">
        <f>11.4*(1/5)+13.8*(1/5)+18.6*(3/5)</f>
        <v>16.200000000000003</v>
      </c>
      <c r="I8" s="115" t="s">
        <v>60</v>
      </c>
      <c r="J8" s="115"/>
      <c r="K8" s="115"/>
      <c r="L8" s="115"/>
      <c r="M8" s="24" t="s">
        <v>61</v>
      </c>
    </row>
    <row r="9" spans="1:13" ht="45" x14ac:dyDescent="0.25">
      <c r="A9" s="88" t="s">
        <v>62</v>
      </c>
      <c r="B9" s="85" t="s">
        <v>63</v>
      </c>
      <c r="C9" s="27">
        <f>C6/C8</f>
        <v>4.024232456140351E-2</v>
      </c>
      <c r="D9" s="25">
        <f>D6/D8</f>
        <v>0.14119148936170214</v>
      </c>
      <c r="E9" s="25">
        <f>E6/E8</f>
        <v>3.092178770949721E-2</v>
      </c>
      <c r="F9" s="25">
        <f t="shared" ref="F9:G9" si="0">F6/F8</f>
        <v>3.1003521126760563E-2</v>
      </c>
      <c r="G9" s="25">
        <f t="shared" si="0"/>
        <v>3.9559748427672958E-2</v>
      </c>
      <c r="H9" s="25">
        <f>H6/H8</f>
        <v>5.0209876543209866E-2</v>
      </c>
      <c r="I9" s="115" t="s">
        <v>64</v>
      </c>
      <c r="J9" s="115"/>
      <c r="K9" s="115"/>
      <c r="L9" s="115"/>
      <c r="M9" s="24"/>
    </row>
    <row r="10" spans="1:13" ht="45" x14ac:dyDescent="0.25">
      <c r="A10" s="88" t="s">
        <v>65</v>
      </c>
      <c r="B10" s="85" t="s">
        <v>63</v>
      </c>
      <c r="C10" s="25">
        <f t="shared" ref="C10:H10" si="1">C7/C8</f>
        <v>1.0995175438596492E-2</v>
      </c>
      <c r="D10" s="25">
        <f>D7/D8</f>
        <v>2.8085106382978724E-2</v>
      </c>
      <c r="E10" s="25">
        <f>E7/E8</f>
        <v>6.0893854748603361E-3</v>
      </c>
      <c r="F10" s="25">
        <f t="shared" si="1"/>
        <v>5.5457746478873244E-3</v>
      </c>
      <c r="G10" s="25">
        <f t="shared" si="1"/>
        <v>9.2452830188679246E-3</v>
      </c>
      <c r="H10" s="25">
        <f t="shared" si="1"/>
        <v>1.2037037037037035E-2</v>
      </c>
      <c r="I10" s="115" t="s">
        <v>64</v>
      </c>
      <c r="J10" s="115"/>
      <c r="K10" s="115"/>
      <c r="L10" s="115"/>
      <c r="M10" s="24"/>
    </row>
    <row r="11" spans="1:13" ht="33" x14ac:dyDescent="0.25">
      <c r="A11" s="88" t="s">
        <v>66</v>
      </c>
      <c r="B11" s="85" t="s">
        <v>67</v>
      </c>
      <c r="C11" s="88">
        <v>1</v>
      </c>
      <c r="D11" s="88">
        <v>1</v>
      </c>
      <c r="E11" s="88">
        <v>1</v>
      </c>
      <c r="F11" s="88">
        <v>1</v>
      </c>
      <c r="G11" s="88">
        <v>1</v>
      </c>
      <c r="H11" s="88">
        <v>1</v>
      </c>
      <c r="I11" s="115" t="s">
        <v>68</v>
      </c>
      <c r="J11" s="115"/>
      <c r="K11" s="115"/>
      <c r="L11" s="115"/>
      <c r="M11" s="24" t="s">
        <v>69</v>
      </c>
    </row>
    <row r="12" spans="1:13" ht="51" x14ac:dyDescent="0.25">
      <c r="A12" s="88" t="s">
        <v>70</v>
      </c>
      <c r="B12" s="85" t="s">
        <v>71</v>
      </c>
      <c r="C12" s="88">
        <v>33</v>
      </c>
      <c r="D12" s="88">
        <f>1-0</f>
        <v>1</v>
      </c>
      <c r="E12" s="88">
        <f>21-16</f>
        <v>5</v>
      </c>
      <c r="F12" s="88">
        <f>16-11</f>
        <v>5</v>
      </c>
      <c r="G12" s="88">
        <f>11-6</f>
        <v>5</v>
      </c>
      <c r="H12" s="88">
        <f>6-1</f>
        <v>5</v>
      </c>
      <c r="I12" s="115" t="s">
        <v>72</v>
      </c>
      <c r="J12" s="115"/>
      <c r="K12" s="115"/>
      <c r="L12" s="115"/>
      <c r="M12" s="24" t="s">
        <v>61</v>
      </c>
    </row>
    <row r="13" spans="1:13" ht="30" x14ac:dyDescent="0.25">
      <c r="A13" s="88" t="s">
        <v>66</v>
      </c>
      <c r="B13" s="85" t="s">
        <v>73</v>
      </c>
      <c r="C13" s="88">
        <f t="shared" ref="C13:H13" si="2">C12</f>
        <v>33</v>
      </c>
      <c r="D13" s="88">
        <f t="shared" si="2"/>
        <v>1</v>
      </c>
      <c r="E13" s="88">
        <f t="shared" si="2"/>
        <v>5</v>
      </c>
      <c r="F13" s="88">
        <f t="shared" si="2"/>
        <v>5</v>
      </c>
      <c r="G13" s="88">
        <f t="shared" si="2"/>
        <v>5</v>
      </c>
      <c r="H13" s="88">
        <f t="shared" si="2"/>
        <v>5</v>
      </c>
      <c r="I13" s="115" t="s">
        <v>72</v>
      </c>
      <c r="J13" s="115"/>
      <c r="K13" s="115"/>
      <c r="L13" s="115"/>
      <c r="M13" s="24" t="s">
        <v>61</v>
      </c>
    </row>
    <row r="14" spans="1:13" ht="33" x14ac:dyDescent="0.25">
      <c r="A14" s="88" t="s">
        <v>66</v>
      </c>
      <c r="B14" s="85" t="s">
        <v>74</v>
      </c>
      <c r="C14" s="126">
        <v>78</v>
      </c>
      <c r="D14" s="126"/>
      <c r="E14" s="126"/>
      <c r="F14" s="126"/>
      <c r="G14" s="126"/>
      <c r="H14" s="126"/>
      <c r="I14" s="113" t="s">
        <v>75</v>
      </c>
      <c r="J14" s="133"/>
      <c r="K14" s="133"/>
      <c r="L14" s="114"/>
      <c r="M14" s="24" t="s">
        <v>61</v>
      </c>
    </row>
    <row r="15" spans="1:13" x14ac:dyDescent="0.25">
      <c r="A15" s="88" t="s">
        <v>76</v>
      </c>
      <c r="B15" s="85" t="s">
        <v>77</v>
      </c>
      <c r="C15" s="126">
        <v>1E-3</v>
      </c>
      <c r="D15" s="126"/>
      <c r="E15" s="126"/>
      <c r="F15" s="126"/>
      <c r="G15" s="126"/>
      <c r="H15" s="126"/>
      <c r="I15" s="125"/>
      <c r="J15" s="125"/>
      <c r="K15" s="125"/>
      <c r="L15" s="125"/>
      <c r="M15" s="88"/>
    </row>
    <row r="16" spans="1:13" ht="30" x14ac:dyDescent="0.25">
      <c r="A16" s="88" t="s">
        <v>78</v>
      </c>
      <c r="B16" s="85" t="s">
        <v>79</v>
      </c>
      <c r="C16" s="126">
        <v>365</v>
      </c>
      <c r="D16" s="126"/>
      <c r="E16" s="126"/>
      <c r="F16" s="126"/>
      <c r="G16" s="126"/>
      <c r="H16" s="126"/>
      <c r="I16" s="125"/>
      <c r="J16" s="125"/>
      <c r="K16" s="125"/>
      <c r="L16" s="125"/>
      <c r="M16" s="88"/>
    </row>
    <row r="17" spans="1:13" ht="30" x14ac:dyDescent="0.25">
      <c r="A17" s="88" t="s">
        <v>80</v>
      </c>
      <c r="B17" s="85" t="s">
        <v>81</v>
      </c>
      <c r="C17" s="126">
        <v>0</v>
      </c>
      <c r="D17" s="126"/>
      <c r="E17" s="126"/>
      <c r="F17" s="126"/>
      <c r="G17" s="126"/>
      <c r="H17" s="126"/>
      <c r="I17" s="125"/>
      <c r="J17" s="125"/>
      <c r="K17" s="125"/>
      <c r="L17" s="125"/>
      <c r="M17" s="88"/>
    </row>
    <row r="18" spans="1:13" x14ac:dyDescent="0.25">
      <c r="I18">
        <f>(279*7.8)/80</f>
        <v>27.202499999999997</v>
      </c>
      <c r="J18">
        <f>1.47*16.2</f>
        <v>23.814</v>
      </c>
    </row>
    <row r="19" spans="1:13" x14ac:dyDescent="0.25">
      <c r="A19" s="20" t="s">
        <v>82</v>
      </c>
      <c r="B19" s="21"/>
      <c r="C19" t="s">
        <v>83</v>
      </c>
      <c r="D19" s="135" t="s">
        <v>84</v>
      </c>
      <c r="E19" s="135"/>
      <c r="F19" s="135"/>
      <c r="G19" s="135"/>
      <c r="H19" s="135"/>
    </row>
    <row r="20" spans="1:13" ht="60.75" thickBot="1" x14ac:dyDescent="0.3">
      <c r="A20" s="92" t="s">
        <v>41</v>
      </c>
      <c r="B20" s="92" t="s">
        <v>42</v>
      </c>
      <c r="C20" s="89" t="s">
        <v>85</v>
      </c>
      <c r="D20" s="89" t="s">
        <v>86</v>
      </c>
      <c r="E20" s="89" t="s">
        <v>87</v>
      </c>
      <c r="F20" s="89" t="s">
        <v>88</v>
      </c>
      <c r="G20" s="89" t="s">
        <v>89</v>
      </c>
      <c r="H20" s="89" t="s">
        <v>90</v>
      </c>
      <c r="I20" s="116" t="s">
        <v>49</v>
      </c>
      <c r="J20" s="117"/>
      <c r="K20" s="117"/>
      <c r="L20" s="118"/>
      <c r="M20" s="89" t="s">
        <v>50</v>
      </c>
    </row>
    <row r="21" spans="1:13" ht="30.75" thickTop="1" x14ac:dyDescent="0.25">
      <c r="A21" s="22" t="s">
        <v>51</v>
      </c>
      <c r="B21" s="86" t="s">
        <v>91</v>
      </c>
      <c r="C21" s="28">
        <v>142.4</v>
      </c>
      <c r="D21" s="22">
        <v>4.7</v>
      </c>
      <c r="E21" s="22">
        <v>8.3000000000000007</v>
      </c>
      <c r="F21" s="22">
        <v>7.7</v>
      </c>
      <c r="G21" s="22">
        <v>5.8</v>
      </c>
      <c r="H21" s="88">
        <v>4.7</v>
      </c>
      <c r="I21" s="119" t="s">
        <v>92</v>
      </c>
      <c r="J21" s="119"/>
      <c r="K21" s="119"/>
      <c r="L21" s="119"/>
      <c r="M21" s="24"/>
    </row>
    <row r="22" spans="1:13" ht="29.1" customHeight="1" x14ac:dyDescent="0.25">
      <c r="A22" s="88" t="s">
        <v>55</v>
      </c>
      <c r="B22" s="86" t="s">
        <v>93</v>
      </c>
      <c r="C22" s="29">
        <v>142.4</v>
      </c>
      <c r="D22" s="30">
        <f>D82*B82</f>
        <v>4.6967999999999996</v>
      </c>
      <c r="E22" s="30">
        <f>D86*B86</f>
        <v>8.2927999999999997</v>
      </c>
      <c r="F22" s="30">
        <f>D85*B85</f>
        <v>7.6955999999999998</v>
      </c>
      <c r="G22" s="30">
        <v>5.8032000000000004</v>
      </c>
      <c r="H22" s="30">
        <v>4.7058000000000009</v>
      </c>
      <c r="I22" s="113" t="s">
        <v>94</v>
      </c>
      <c r="J22" s="133"/>
      <c r="K22" s="133"/>
      <c r="L22" s="114"/>
      <c r="M22" s="24"/>
    </row>
    <row r="23" spans="1:13" ht="14.45" customHeight="1" x14ac:dyDescent="0.25">
      <c r="A23" s="88" t="s">
        <v>58</v>
      </c>
      <c r="B23" s="85" t="s">
        <v>59</v>
      </c>
      <c r="C23" s="88">
        <v>80</v>
      </c>
      <c r="D23" s="26">
        <v>11.4</v>
      </c>
      <c r="E23" s="88">
        <v>56.8</v>
      </c>
      <c r="F23" s="88">
        <v>31.8</v>
      </c>
      <c r="G23" s="88">
        <v>18.600000000000001</v>
      </c>
      <c r="H23" s="88">
        <v>13.8</v>
      </c>
      <c r="I23" s="113" t="s">
        <v>95</v>
      </c>
      <c r="J23" s="133"/>
      <c r="K23" s="133"/>
      <c r="L23" s="114"/>
      <c r="M23" s="24" t="s">
        <v>61</v>
      </c>
    </row>
    <row r="24" spans="1:13" ht="30" hidden="1" x14ac:dyDescent="0.25">
      <c r="A24" s="88" t="s">
        <v>96</v>
      </c>
      <c r="B24" s="85" t="s">
        <v>97</v>
      </c>
      <c r="C24" s="27">
        <f>C21/C23</f>
        <v>1.78</v>
      </c>
      <c r="D24" s="25">
        <f>D21/D23</f>
        <v>0.41228070175438597</v>
      </c>
      <c r="E24" s="25">
        <f>E21/E23</f>
        <v>0.14612676056338031</v>
      </c>
      <c r="F24" s="25">
        <f t="shared" ref="F24:G24" si="3">F21/F23</f>
        <v>0.24213836477987422</v>
      </c>
      <c r="G24" s="25">
        <f t="shared" si="3"/>
        <v>0.31182795698924726</v>
      </c>
      <c r="H24" s="25">
        <f>H21/H23</f>
        <v>0.34057971014492755</v>
      </c>
      <c r="I24" s="115" t="s">
        <v>64</v>
      </c>
      <c r="J24" s="115"/>
      <c r="K24" s="115"/>
      <c r="L24" s="115"/>
      <c r="M24" s="24"/>
    </row>
    <row r="25" spans="1:13" ht="30" hidden="1" x14ac:dyDescent="0.25">
      <c r="A25" s="88" t="s">
        <v>98</v>
      </c>
      <c r="B25" s="85" t="s">
        <v>97</v>
      </c>
      <c r="C25" s="25">
        <f t="shared" ref="C25" si="4">C22/C23</f>
        <v>1.78</v>
      </c>
      <c r="D25" s="25">
        <f>D22/D23</f>
        <v>0.41199999999999998</v>
      </c>
      <c r="E25" s="25">
        <f>E22/E23</f>
        <v>0.14599999999999999</v>
      </c>
      <c r="F25" s="25">
        <f t="shared" ref="F25:H25" si="5">F22/F23</f>
        <v>0.24199999999999999</v>
      </c>
      <c r="G25" s="25">
        <f t="shared" si="5"/>
        <v>0.312</v>
      </c>
      <c r="H25" s="25">
        <f t="shared" si="5"/>
        <v>0.34100000000000003</v>
      </c>
      <c r="I25" s="115" t="s">
        <v>64</v>
      </c>
      <c r="J25" s="115"/>
      <c r="K25" s="115"/>
      <c r="L25" s="115"/>
      <c r="M25" s="24"/>
    </row>
    <row r="26" spans="1:13" ht="33" x14ac:dyDescent="0.25">
      <c r="A26" s="88" t="s">
        <v>66</v>
      </c>
      <c r="B26" s="85" t="s">
        <v>67</v>
      </c>
      <c r="C26" s="88">
        <v>1</v>
      </c>
      <c r="D26" s="88">
        <v>1</v>
      </c>
      <c r="E26" s="88">
        <v>1</v>
      </c>
      <c r="F26" s="88">
        <v>1</v>
      </c>
      <c r="G26" s="88">
        <v>1</v>
      </c>
      <c r="H26" s="88">
        <v>1</v>
      </c>
      <c r="I26" s="115" t="s">
        <v>68</v>
      </c>
      <c r="J26" s="115"/>
      <c r="K26" s="115"/>
      <c r="L26" s="115"/>
      <c r="M26" s="24" t="s">
        <v>69</v>
      </c>
    </row>
    <row r="27" spans="1:13" ht="51" x14ac:dyDescent="0.25">
      <c r="A27" s="88" t="s">
        <v>70</v>
      </c>
      <c r="B27" s="85" t="s">
        <v>71</v>
      </c>
      <c r="C27" s="88">
        <v>33</v>
      </c>
      <c r="D27" s="88">
        <f>1-0</f>
        <v>1</v>
      </c>
      <c r="E27" s="88">
        <f>21-16</f>
        <v>5</v>
      </c>
      <c r="F27" s="88">
        <f>16-11</f>
        <v>5</v>
      </c>
      <c r="G27" s="88">
        <v>3</v>
      </c>
      <c r="H27" s="88">
        <v>1</v>
      </c>
      <c r="I27" s="115" t="s">
        <v>72</v>
      </c>
      <c r="J27" s="115"/>
      <c r="K27" s="115"/>
      <c r="L27" s="115"/>
      <c r="M27" s="24" t="s">
        <v>61</v>
      </c>
    </row>
    <row r="28" spans="1:13" ht="30" x14ac:dyDescent="0.25">
      <c r="A28" s="88" t="s">
        <v>66</v>
      </c>
      <c r="B28" s="85" t="s">
        <v>73</v>
      </c>
      <c r="C28" s="88">
        <f t="shared" ref="C28:F28" si="6">C27</f>
        <v>33</v>
      </c>
      <c r="D28" s="88">
        <f t="shared" si="6"/>
        <v>1</v>
      </c>
      <c r="E28" s="88">
        <f t="shared" si="6"/>
        <v>5</v>
      </c>
      <c r="F28" s="88">
        <f t="shared" si="6"/>
        <v>5</v>
      </c>
      <c r="G28" s="88">
        <v>3</v>
      </c>
      <c r="H28" s="88">
        <v>1</v>
      </c>
      <c r="I28" s="115" t="s">
        <v>72</v>
      </c>
      <c r="J28" s="115"/>
      <c r="K28" s="115"/>
      <c r="L28" s="115"/>
      <c r="M28" s="24" t="s">
        <v>61</v>
      </c>
    </row>
    <row r="29" spans="1:13" ht="33" x14ac:dyDescent="0.25">
      <c r="A29" s="88" t="s">
        <v>66</v>
      </c>
      <c r="B29" s="85" t="s">
        <v>74</v>
      </c>
      <c r="C29" s="126">
        <v>78</v>
      </c>
      <c r="D29" s="126"/>
      <c r="E29" s="126"/>
      <c r="F29" s="126"/>
      <c r="G29" s="126"/>
      <c r="H29" s="126"/>
      <c r="I29" s="113" t="s">
        <v>75</v>
      </c>
      <c r="J29" s="133"/>
      <c r="K29" s="133"/>
      <c r="L29" s="114"/>
      <c r="M29" s="24" t="s">
        <v>61</v>
      </c>
    </row>
    <row r="30" spans="1:13" x14ac:dyDescent="0.25">
      <c r="A30" s="88" t="s">
        <v>99</v>
      </c>
      <c r="B30" s="85" t="s">
        <v>100</v>
      </c>
      <c r="C30" s="91">
        <v>7</v>
      </c>
      <c r="D30" s="88"/>
      <c r="E30" s="88"/>
      <c r="F30" s="88"/>
      <c r="G30" s="88"/>
      <c r="H30" s="88"/>
      <c r="I30" s="83"/>
      <c r="J30" s="93"/>
      <c r="K30" s="93"/>
      <c r="L30" s="84"/>
      <c r="M30" s="24"/>
    </row>
    <row r="31" spans="1:13" x14ac:dyDescent="0.25">
      <c r="A31" s="88" t="s">
        <v>76</v>
      </c>
      <c r="B31" s="85" t="s">
        <v>77</v>
      </c>
      <c r="C31" s="126">
        <v>1E-3</v>
      </c>
      <c r="D31" s="126"/>
      <c r="E31" s="126"/>
      <c r="F31" s="126"/>
      <c r="G31" s="126"/>
      <c r="H31" s="126"/>
      <c r="I31" s="125"/>
      <c r="J31" s="125"/>
      <c r="K31" s="125"/>
      <c r="L31" s="125"/>
      <c r="M31" s="88"/>
    </row>
    <row r="32" spans="1:13" ht="30" x14ac:dyDescent="0.25">
      <c r="A32" s="88" t="s">
        <v>78</v>
      </c>
      <c r="B32" s="85" t="s">
        <v>79</v>
      </c>
      <c r="C32" s="126">
        <v>365</v>
      </c>
      <c r="D32" s="126"/>
      <c r="E32" s="126"/>
      <c r="F32" s="126"/>
      <c r="G32" s="126"/>
      <c r="H32" s="126"/>
      <c r="I32" s="125"/>
      <c r="J32" s="125"/>
      <c r="K32" s="125"/>
      <c r="L32" s="125"/>
      <c r="M32" s="88"/>
    </row>
    <row r="34" spans="1:13" s="35" customFormat="1" x14ac:dyDescent="0.25">
      <c r="A34" s="31" t="s">
        <v>101</v>
      </c>
      <c r="B34" s="32"/>
      <c r="C34" s="31"/>
      <c r="D34" s="33"/>
      <c r="E34" s="33"/>
      <c r="F34" s="33"/>
      <c r="G34" s="34"/>
      <c r="H34" s="34"/>
      <c r="I34" s="34"/>
      <c r="L34" s="34"/>
      <c r="M34" s="34"/>
    </row>
    <row r="35" spans="1:13" s="35" customFormat="1" ht="30.75" thickBot="1" x14ac:dyDescent="0.3">
      <c r="A35" s="92" t="s">
        <v>41</v>
      </c>
      <c r="B35" s="89" t="s">
        <v>42</v>
      </c>
      <c r="C35" s="89" t="s">
        <v>43</v>
      </c>
      <c r="D35" s="89" t="s">
        <v>46</v>
      </c>
      <c r="E35" s="89" t="s">
        <v>47</v>
      </c>
      <c r="F35" s="132" t="s">
        <v>49</v>
      </c>
      <c r="G35" s="132"/>
      <c r="H35" s="132"/>
      <c r="I35" s="132"/>
      <c r="J35" s="36" t="s">
        <v>50</v>
      </c>
      <c r="K35" s="34"/>
    </row>
    <row r="36" spans="1:13" s="35" customFormat="1" ht="55.5" customHeight="1" thickTop="1" x14ac:dyDescent="0.25">
      <c r="A36" s="22" t="s">
        <v>102</v>
      </c>
      <c r="B36" s="86" t="s">
        <v>103</v>
      </c>
      <c r="C36" s="22">
        <f>92/1000</f>
        <v>9.1999999999999998E-2</v>
      </c>
      <c r="D36" s="22">
        <f>152/1000</f>
        <v>0.152</v>
      </c>
      <c r="E36" s="22">
        <v>9.6000000000000002E-2</v>
      </c>
      <c r="F36" s="122" t="s">
        <v>104</v>
      </c>
      <c r="G36" s="134"/>
      <c r="H36" s="134"/>
      <c r="I36" s="123"/>
      <c r="J36" s="24" t="s">
        <v>54</v>
      </c>
      <c r="K36" s="34"/>
    </row>
    <row r="37" spans="1:13" s="35" customFormat="1" ht="35.1" customHeight="1" x14ac:dyDescent="0.25">
      <c r="A37" s="88" t="s">
        <v>58</v>
      </c>
      <c r="B37" s="85" t="s">
        <v>59</v>
      </c>
      <c r="C37" s="88">
        <v>80</v>
      </c>
      <c r="D37" s="88">
        <v>56.8</v>
      </c>
      <c r="E37" s="88">
        <v>31.8</v>
      </c>
      <c r="F37" s="113" t="s">
        <v>105</v>
      </c>
      <c r="G37" s="133"/>
      <c r="H37" s="133"/>
      <c r="I37" s="114"/>
      <c r="J37" s="24" t="s">
        <v>61</v>
      </c>
      <c r="K37" s="34"/>
    </row>
    <row r="38" spans="1:13" s="35" customFormat="1" ht="35.1" customHeight="1" x14ac:dyDescent="0.25">
      <c r="A38" s="88" t="s">
        <v>106</v>
      </c>
      <c r="B38" s="85" t="s">
        <v>107</v>
      </c>
      <c r="C38" s="88">
        <v>3</v>
      </c>
      <c r="D38" s="88">
        <v>2</v>
      </c>
      <c r="E38" s="88">
        <v>1</v>
      </c>
      <c r="F38" s="113" t="s">
        <v>108</v>
      </c>
      <c r="G38" s="133"/>
      <c r="H38" s="133"/>
      <c r="I38" s="114"/>
      <c r="J38" s="24" t="s">
        <v>109</v>
      </c>
      <c r="K38" s="34"/>
    </row>
    <row r="39" spans="1:13" s="35" customFormat="1" ht="30.95" customHeight="1" x14ac:dyDescent="0.25">
      <c r="A39" s="88" t="s">
        <v>110</v>
      </c>
      <c r="B39" s="85" t="s">
        <v>111</v>
      </c>
      <c r="C39" s="88">
        <f t="shared" ref="C39:E39" si="7">C36*C38</f>
        <v>0.27600000000000002</v>
      </c>
      <c r="D39" s="88">
        <f t="shared" si="7"/>
        <v>0.30399999999999999</v>
      </c>
      <c r="E39" s="88">
        <f t="shared" si="7"/>
        <v>9.6000000000000002E-2</v>
      </c>
      <c r="F39" s="113" t="s">
        <v>112</v>
      </c>
      <c r="G39" s="133"/>
      <c r="H39" s="133"/>
      <c r="I39" s="114"/>
      <c r="J39" s="37"/>
      <c r="K39" s="35" t="s">
        <v>113</v>
      </c>
    </row>
    <row r="40" spans="1:13" s="35" customFormat="1" ht="32.450000000000003" customHeight="1" x14ac:dyDescent="0.25">
      <c r="A40" s="88" t="s">
        <v>114</v>
      </c>
      <c r="B40" s="85" t="s">
        <v>115</v>
      </c>
      <c r="C40" s="27">
        <f>C39/C37</f>
        <v>3.4500000000000004E-3</v>
      </c>
      <c r="D40" s="27">
        <f>D39/D37</f>
        <v>5.3521126760563385E-3</v>
      </c>
      <c r="E40" s="27">
        <f>E39/E37</f>
        <v>3.0188679245283017E-3</v>
      </c>
      <c r="F40" s="113" t="s">
        <v>64</v>
      </c>
      <c r="G40" s="133"/>
      <c r="H40" s="133"/>
      <c r="I40" s="114"/>
      <c r="J40" s="37"/>
    </row>
    <row r="41" spans="1:13" s="35" customFormat="1" ht="46.5" customHeight="1" x14ac:dyDescent="0.25">
      <c r="A41" s="88" t="s">
        <v>70</v>
      </c>
      <c r="B41" s="85" t="s">
        <v>116</v>
      </c>
      <c r="C41" s="88">
        <v>33</v>
      </c>
      <c r="D41" s="88">
        <v>5</v>
      </c>
      <c r="E41" s="88">
        <v>5</v>
      </c>
      <c r="F41" s="113" t="s">
        <v>72</v>
      </c>
      <c r="G41" s="133"/>
      <c r="H41" s="133"/>
      <c r="I41" s="114"/>
      <c r="J41" s="24" t="s">
        <v>61</v>
      </c>
      <c r="L41" s="34"/>
      <c r="M41" s="34"/>
    </row>
    <row r="42" spans="1:13" s="35" customFormat="1" ht="46.5" customHeight="1" x14ac:dyDescent="0.25">
      <c r="A42" s="88" t="s">
        <v>66</v>
      </c>
      <c r="B42" s="85" t="s">
        <v>73</v>
      </c>
      <c r="C42" s="88">
        <f>C41</f>
        <v>33</v>
      </c>
      <c r="D42" s="88">
        <f>D41</f>
        <v>5</v>
      </c>
      <c r="E42" s="88">
        <f>E41</f>
        <v>5</v>
      </c>
      <c r="F42" s="113" t="s">
        <v>72</v>
      </c>
      <c r="G42" s="133"/>
      <c r="H42" s="133"/>
      <c r="I42" s="114"/>
      <c r="J42" s="24" t="s">
        <v>61</v>
      </c>
      <c r="L42" s="34"/>
      <c r="M42" s="34"/>
    </row>
    <row r="43" spans="1:13" s="35" customFormat="1" x14ac:dyDescent="0.25">
      <c r="A43" s="88" t="s">
        <v>76</v>
      </c>
      <c r="B43" s="85" t="s">
        <v>77</v>
      </c>
      <c r="C43" s="124">
        <v>1E-3</v>
      </c>
      <c r="D43" s="124"/>
      <c r="E43" s="124"/>
      <c r="F43" s="125"/>
      <c r="G43" s="125"/>
      <c r="H43" s="125"/>
      <c r="I43" s="125"/>
      <c r="J43" s="88"/>
      <c r="M43" s="34"/>
    </row>
    <row r="44" spans="1:13" s="35" customFormat="1" ht="30" x14ac:dyDescent="0.25">
      <c r="A44" s="88" t="s">
        <v>78</v>
      </c>
      <c r="B44" s="85" t="s">
        <v>79</v>
      </c>
      <c r="C44" s="126">
        <v>365</v>
      </c>
      <c r="D44" s="126"/>
      <c r="E44" s="126"/>
      <c r="F44" s="125"/>
      <c r="G44" s="125"/>
      <c r="H44" s="125"/>
      <c r="I44" s="125"/>
      <c r="J44" s="88"/>
      <c r="M44" s="34"/>
    </row>
    <row r="45" spans="1:13" s="35" customFormat="1" x14ac:dyDescent="0.25">
      <c r="B45" s="32"/>
      <c r="E45" s="38"/>
      <c r="F45" s="38"/>
    </row>
    <row r="46" spans="1:13" s="31" customFormat="1" x14ac:dyDescent="0.25">
      <c r="A46" s="31" t="s">
        <v>117</v>
      </c>
      <c r="B46" s="33"/>
      <c r="D46" s="33"/>
      <c r="E46" s="33"/>
      <c r="F46" s="33"/>
    </row>
    <row r="47" spans="1:13" s="35" customFormat="1" ht="30.75" thickBot="1" x14ac:dyDescent="0.3">
      <c r="A47" s="92" t="s">
        <v>41</v>
      </c>
      <c r="B47" s="89" t="s">
        <v>42</v>
      </c>
      <c r="C47" s="89" t="s">
        <v>43</v>
      </c>
      <c r="D47" s="89" t="s">
        <v>46</v>
      </c>
      <c r="E47" s="89" t="s">
        <v>47</v>
      </c>
      <c r="F47" s="132" t="s">
        <v>49</v>
      </c>
      <c r="G47" s="132"/>
      <c r="H47" s="132"/>
      <c r="I47" s="132"/>
      <c r="J47" s="89" t="s">
        <v>50</v>
      </c>
      <c r="K47" s="31"/>
    </row>
    <row r="48" spans="1:13" s="35" customFormat="1" ht="32.450000000000003" customHeight="1" thickTop="1" x14ac:dyDescent="0.25">
      <c r="A48" s="22" t="s">
        <v>58</v>
      </c>
      <c r="B48" s="86" t="s">
        <v>59</v>
      </c>
      <c r="C48" s="22">
        <v>80</v>
      </c>
      <c r="D48" s="22">
        <v>56.8</v>
      </c>
      <c r="E48" s="22">
        <v>31.8</v>
      </c>
      <c r="F48" s="119" t="s">
        <v>105</v>
      </c>
      <c r="G48" s="119"/>
      <c r="H48" s="119"/>
      <c r="I48" s="119"/>
      <c r="J48" s="24" t="s">
        <v>61</v>
      </c>
    </row>
    <row r="49" spans="1:10" s="35" customFormat="1" ht="32.450000000000003" customHeight="1" x14ac:dyDescent="0.25">
      <c r="A49" s="88" t="s">
        <v>118</v>
      </c>
      <c r="B49" s="85" t="s">
        <v>119</v>
      </c>
      <c r="C49" s="88">
        <v>19500</v>
      </c>
      <c r="D49" s="88">
        <v>15900</v>
      </c>
      <c r="E49" s="88">
        <v>10800</v>
      </c>
      <c r="F49" s="115" t="s">
        <v>120</v>
      </c>
      <c r="G49" s="115"/>
      <c r="H49" s="115"/>
      <c r="I49" s="115"/>
      <c r="J49" s="24" t="s">
        <v>109</v>
      </c>
    </row>
    <row r="50" spans="1:10" s="35" customFormat="1" ht="32.1" customHeight="1" x14ac:dyDescent="0.25">
      <c r="A50" s="88" t="s">
        <v>106</v>
      </c>
      <c r="B50" s="85" t="s">
        <v>107</v>
      </c>
      <c r="C50" s="88">
        <v>3</v>
      </c>
      <c r="D50" s="88">
        <v>2</v>
      </c>
      <c r="E50" s="88">
        <v>1</v>
      </c>
      <c r="F50" s="115" t="s">
        <v>121</v>
      </c>
      <c r="G50" s="115"/>
      <c r="H50" s="115"/>
      <c r="I50" s="115"/>
      <c r="J50" s="24" t="s">
        <v>109</v>
      </c>
    </row>
    <row r="51" spans="1:10" s="35" customFormat="1" ht="46.5" customHeight="1" x14ac:dyDescent="0.25">
      <c r="A51" s="88" t="s">
        <v>70</v>
      </c>
      <c r="B51" s="85" t="s">
        <v>116</v>
      </c>
      <c r="C51" s="88">
        <v>33</v>
      </c>
      <c r="D51" s="88">
        <f>16-11</f>
        <v>5</v>
      </c>
      <c r="E51" s="88">
        <f>11-6</f>
        <v>5</v>
      </c>
      <c r="F51" s="115" t="s">
        <v>122</v>
      </c>
      <c r="G51" s="115"/>
      <c r="H51" s="115"/>
      <c r="I51" s="115"/>
      <c r="J51" s="24" t="s">
        <v>61</v>
      </c>
    </row>
    <row r="52" spans="1:10" s="35" customFormat="1" ht="46.5" customHeight="1" x14ac:dyDescent="0.25">
      <c r="A52" s="88" t="s">
        <v>66</v>
      </c>
      <c r="B52" s="85" t="s">
        <v>73</v>
      </c>
      <c r="C52" s="88">
        <f>C51</f>
        <v>33</v>
      </c>
      <c r="D52" s="88">
        <f>D51</f>
        <v>5</v>
      </c>
      <c r="E52" s="88">
        <f>E51</f>
        <v>5</v>
      </c>
      <c r="F52" s="115" t="s">
        <v>72</v>
      </c>
      <c r="G52" s="115"/>
      <c r="H52" s="115"/>
      <c r="I52" s="115"/>
      <c r="J52" s="24" t="s">
        <v>61</v>
      </c>
    </row>
    <row r="53" spans="1:10" s="35" customFormat="1" ht="65.45" customHeight="1" x14ac:dyDescent="0.25">
      <c r="A53" s="88" t="s">
        <v>123</v>
      </c>
      <c r="B53" s="85" t="s">
        <v>124</v>
      </c>
      <c r="C53" s="130">
        <v>6.7000000000000002E-3</v>
      </c>
      <c r="D53" s="131"/>
      <c r="E53" s="131"/>
      <c r="F53" s="115" t="s">
        <v>125</v>
      </c>
      <c r="G53" s="115"/>
      <c r="H53" s="115"/>
      <c r="I53" s="115"/>
      <c r="J53" s="37" t="s">
        <v>126</v>
      </c>
    </row>
    <row r="54" spans="1:10" s="35" customFormat="1" x14ac:dyDescent="0.25">
      <c r="A54" s="88" t="s">
        <v>76</v>
      </c>
      <c r="B54" s="85" t="s">
        <v>77</v>
      </c>
      <c r="C54" s="124">
        <v>1E-3</v>
      </c>
      <c r="D54" s="124"/>
      <c r="E54" s="124"/>
      <c r="F54" s="125"/>
      <c r="G54" s="125"/>
      <c r="H54" s="125"/>
      <c r="I54" s="125"/>
      <c r="J54" s="37"/>
    </row>
    <row r="55" spans="1:10" s="35" customFormat="1" ht="17.25" x14ac:dyDescent="0.25">
      <c r="A55" s="88" t="s">
        <v>78</v>
      </c>
      <c r="B55" s="85" t="s">
        <v>127</v>
      </c>
      <c r="C55" s="124">
        <v>1E-3</v>
      </c>
      <c r="D55" s="124"/>
      <c r="E55" s="124"/>
      <c r="F55" s="125"/>
      <c r="G55" s="125"/>
      <c r="H55" s="125"/>
      <c r="I55" s="125"/>
      <c r="J55" s="88"/>
    </row>
    <row r="56" spans="1:10" s="35" customFormat="1" ht="30" x14ac:dyDescent="0.25">
      <c r="A56" s="88" t="s">
        <v>128</v>
      </c>
      <c r="B56" s="85" t="s">
        <v>79</v>
      </c>
      <c r="C56" s="126">
        <v>365</v>
      </c>
      <c r="D56" s="126"/>
      <c r="E56" s="126"/>
      <c r="F56" s="125"/>
      <c r="G56" s="125"/>
      <c r="H56" s="125"/>
      <c r="I56" s="125"/>
      <c r="J56" s="88"/>
    </row>
    <row r="57" spans="1:10" s="35" customFormat="1" x14ac:dyDescent="0.25">
      <c r="B57" s="32"/>
    </row>
    <row r="58" spans="1:10" s="31" customFormat="1" x14ac:dyDescent="0.25">
      <c r="A58" s="31" t="s">
        <v>129</v>
      </c>
      <c r="B58" s="33"/>
      <c r="D58" s="33"/>
      <c r="E58" s="33"/>
      <c r="F58" s="33"/>
    </row>
    <row r="59" spans="1:10" s="32" customFormat="1" ht="45.75" thickBot="1" x14ac:dyDescent="0.3">
      <c r="A59" s="89" t="s">
        <v>130</v>
      </c>
      <c r="B59" s="89" t="s">
        <v>131</v>
      </c>
      <c r="C59" s="127" t="s">
        <v>132</v>
      </c>
      <c r="D59" s="128"/>
      <c r="E59" s="89" t="s">
        <v>133</v>
      </c>
      <c r="F59" s="89" t="s">
        <v>134</v>
      </c>
      <c r="G59" s="129" t="s">
        <v>49</v>
      </c>
      <c r="H59" s="129"/>
      <c r="I59" s="129"/>
      <c r="J59" s="129"/>
    </row>
    <row r="60" spans="1:10" s="35" customFormat="1" ht="35.450000000000003" customHeight="1" thickTop="1" x14ac:dyDescent="0.25">
      <c r="A60" s="22" t="s">
        <v>135</v>
      </c>
      <c r="B60" s="86" t="s">
        <v>136</v>
      </c>
      <c r="C60" s="122" t="s">
        <v>137</v>
      </c>
      <c r="D60" s="123"/>
      <c r="E60" s="39">
        <v>240</v>
      </c>
      <c r="F60" s="40">
        <v>100</v>
      </c>
      <c r="G60" s="119" t="s">
        <v>138</v>
      </c>
      <c r="H60" s="119"/>
      <c r="I60" s="119"/>
      <c r="J60" s="119"/>
    </row>
    <row r="61" spans="1:10" s="35" customFormat="1" ht="30" customHeight="1" x14ac:dyDescent="0.25">
      <c r="A61" s="88" t="s">
        <v>139</v>
      </c>
      <c r="B61" s="85" t="s">
        <v>140</v>
      </c>
      <c r="C61" s="113" t="s">
        <v>141</v>
      </c>
      <c r="D61" s="114"/>
      <c r="E61" s="91">
        <v>171</v>
      </c>
      <c r="F61" s="91">
        <v>300</v>
      </c>
      <c r="G61" s="115" t="s">
        <v>138</v>
      </c>
      <c r="H61" s="115"/>
      <c r="I61" s="115"/>
      <c r="J61" s="115"/>
    </row>
    <row r="62" spans="1:10" s="35" customFormat="1" x14ac:dyDescent="0.25">
      <c r="A62" s="88" t="s">
        <v>139</v>
      </c>
      <c r="B62" s="85" t="s">
        <v>142</v>
      </c>
      <c r="C62" s="113" t="s">
        <v>143</v>
      </c>
      <c r="D62" s="114"/>
      <c r="E62" s="90">
        <v>3.3000000000000002E-2</v>
      </c>
      <c r="F62" s="90">
        <v>9.9999999999999995E-7</v>
      </c>
      <c r="G62" s="115" t="s">
        <v>144</v>
      </c>
      <c r="H62" s="115"/>
      <c r="I62" s="115"/>
      <c r="J62" s="115"/>
    </row>
    <row r="63" spans="1:10" s="35" customFormat="1" x14ac:dyDescent="0.25">
      <c r="A63" s="88" t="s">
        <v>30</v>
      </c>
      <c r="B63" s="85"/>
      <c r="C63" s="113" t="s">
        <v>145</v>
      </c>
      <c r="D63" s="114"/>
      <c r="E63" s="90">
        <v>3.3000000000000002E-2</v>
      </c>
      <c r="F63" s="91"/>
      <c r="G63" s="115"/>
      <c r="H63" s="115"/>
      <c r="I63" s="115"/>
      <c r="J63" s="115"/>
    </row>
    <row r="65" spans="1:10" x14ac:dyDescent="0.25">
      <c r="A65" s="20" t="s">
        <v>146</v>
      </c>
      <c r="B65" s="21"/>
    </row>
    <row r="66" spans="1:10" ht="15.75" thickBot="1" x14ac:dyDescent="0.3">
      <c r="A66" s="92" t="s">
        <v>41</v>
      </c>
      <c r="B66" s="92" t="s">
        <v>42</v>
      </c>
      <c r="C66" s="89" t="s">
        <v>147</v>
      </c>
      <c r="D66" s="89" t="s">
        <v>148</v>
      </c>
      <c r="E66" s="89" t="s">
        <v>149</v>
      </c>
      <c r="F66" s="116" t="s">
        <v>49</v>
      </c>
      <c r="G66" s="117"/>
      <c r="H66" s="117"/>
      <c r="I66" s="118"/>
      <c r="J66" s="89" t="s">
        <v>50</v>
      </c>
    </row>
    <row r="67" spans="1:10" ht="15.75" thickTop="1" x14ac:dyDescent="0.25">
      <c r="A67" s="22" t="s">
        <v>150</v>
      </c>
      <c r="B67" s="85" t="s">
        <v>151</v>
      </c>
      <c r="C67" s="41"/>
      <c r="D67" s="42"/>
      <c r="E67" s="42"/>
      <c r="F67" s="119" t="s">
        <v>152</v>
      </c>
      <c r="G67" s="119"/>
      <c r="H67" s="119"/>
      <c r="I67" s="119"/>
      <c r="J67" s="24"/>
    </row>
    <row r="68" spans="1:10" ht="18.600000000000001" customHeight="1" x14ac:dyDescent="0.25">
      <c r="A68" s="88"/>
      <c r="B68" s="86"/>
      <c r="C68" s="25"/>
      <c r="D68" s="25"/>
      <c r="E68" s="88"/>
      <c r="F68" s="115"/>
      <c r="G68" s="115"/>
      <c r="H68" s="115"/>
      <c r="I68" s="115"/>
      <c r="J68" s="24"/>
    </row>
    <row r="78" spans="1:10" ht="15.75" thickBot="1" x14ac:dyDescent="0.3"/>
    <row r="79" spans="1:10" ht="18" thickBot="1" x14ac:dyDescent="0.3">
      <c r="A79" s="43" t="s">
        <v>153</v>
      </c>
      <c r="B79" s="87" t="s">
        <v>154</v>
      </c>
      <c r="C79" s="120" t="s">
        <v>155</v>
      </c>
      <c r="D79" s="121"/>
      <c r="E79" s="44"/>
    </row>
    <row r="80" spans="1:10" ht="15.75" thickBot="1" x14ac:dyDescent="0.3">
      <c r="A80" s="45"/>
      <c r="B80" s="46"/>
      <c r="C80" s="47" t="s">
        <v>156</v>
      </c>
      <c r="D80" s="47" t="s">
        <v>84</v>
      </c>
      <c r="E80" s="48"/>
    </row>
    <row r="81" spans="1:5" ht="18" thickBot="1" x14ac:dyDescent="0.3">
      <c r="A81" s="49" t="s">
        <v>157</v>
      </c>
      <c r="B81" s="47">
        <v>7.83</v>
      </c>
      <c r="C81" s="47" t="s">
        <v>158</v>
      </c>
      <c r="D81" s="47" t="s">
        <v>158</v>
      </c>
      <c r="E81" s="46"/>
    </row>
    <row r="82" spans="1:5" ht="18" thickBot="1" x14ac:dyDescent="0.3">
      <c r="A82" s="49" t="s">
        <v>159</v>
      </c>
      <c r="B82" s="47">
        <v>11.4</v>
      </c>
      <c r="C82" s="47">
        <v>5.2999999999999999E-2</v>
      </c>
      <c r="D82" s="47">
        <v>0.41199999999999998</v>
      </c>
      <c r="E82" s="47" t="s">
        <v>160</v>
      </c>
    </row>
    <row r="83" spans="1:5" ht="18" thickBot="1" x14ac:dyDescent="0.3">
      <c r="A83" s="49" t="s">
        <v>161</v>
      </c>
      <c r="B83" s="47">
        <v>13.8</v>
      </c>
      <c r="C83" s="47">
        <v>4.2999999999999997E-2</v>
      </c>
      <c r="D83" s="47">
        <v>0.34100000000000003</v>
      </c>
      <c r="E83" s="47" t="s">
        <v>162</v>
      </c>
    </row>
    <row r="84" spans="1:5" ht="18" thickBot="1" x14ac:dyDescent="0.3">
      <c r="A84" s="49" t="s">
        <v>163</v>
      </c>
      <c r="B84" s="47">
        <v>18.600000000000001</v>
      </c>
      <c r="C84" s="47">
        <v>3.7999999999999999E-2</v>
      </c>
      <c r="D84" s="47">
        <v>0.312</v>
      </c>
      <c r="E84" s="47" t="s">
        <v>164</v>
      </c>
    </row>
    <row r="85" spans="1:5" ht="18" thickBot="1" x14ac:dyDescent="0.3">
      <c r="A85" s="49" t="s">
        <v>165</v>
      </c>
      <c r="B85" s="47">
        <v>31.8</v>
      </c>
      <c r="C85" s="47">
        <v>3.5000000000000003E-2</v>
      </c>
      <c r="D85" s="47">
        <v>0.24199999999999999</v>
      </c>
      <c r="E85" s="47" t="s">
        <v>166</v>
      </c>
    </row>
    <row r="86" spans="1:5" ht="18" thickBot="1" x14ac:dyDescent="0.3">
      <c r="A86" s="49" t="s">
        <v>167</v>
      </c>
      <c r="B86" s="47">
        <v>56.8</v>
      </c>
      <c r="C86" s="47">
        <v>1.9E-2</v>
      </c>
      <c r="D86" s="47">
        <v>0.14599999999999999</v>
      </c>
      <c r="E86" s="47" t="s">
        <v>168</v>
      </c>
    </row>
    <row r="87" spans="1:5" ht="18" thickBot="1" x14ac:dyDescent="0.3">
      <c r="A87" s="49" t="s">
        <v>169</v>
      </c>
      <c r="B87" s="47">
        <v>80</v>
      </c>
      <c r="C87" s="47">
        <v>6.3E-2</v>
      </c>
      <c r="D87" s="47">
        <v>0.27700000000000002</v>
      </c>
      <c r="E87" s="47" t="s">
        <v>170</v>
      </c>
    </row>
    <row r="88" spans="1:5" ht="18" thickBot="1" x14ac:dyDescent="0.3">
      <c r="A88" s="49" t="s">
        <v>171</v>
      </c>
      <c r="B88" s="47">
        <v>80</v>
      </c>
      <c r="C88" s="47">
        <v>1.78</v>
      </c>
      <c r="D88" s="46"/>
      <c r="E88" s="46"/>
    </row>
    <row r="89" spans="1:5" ht="15.75" thickBot="1" x14ac:dyDescent="0.3">
      <c r="A89" s="110" t="s">
        <v>172</v>
      </c>
      <c r="B89" s="111"/>
      <c r="C89" s="111"/>
      <c r="D89" s="111"/>
      <c r="E89" s="112"/>
    </row>
    <row r="90" spans="1:5" ht="15.75" thickBot="1" x14ac:dyDescent="0.3">
      <c r="A90" s="110" t="s">
        <v>173</v>
      </c>
      <c r="B90" s="111"/>
      <c r="C90" s="111"/>
      <c r="D90" s="111"/>
      <c r="E90" s="112"/>
    </row>
    <row r="91" spans="1:5" ht="15.75" thickBot="1" x14ac:dyDescent="0.3">
      <c r="A91" s="110" t="s">
        <v>174</v>
      </c>
      <c r="B91" s="111"/>
      <c r="C91" s="111"/>
      <c r="D91" s="111"/>
      <c r="E91" s="112"/>
    </row>
    <row r="92" spans="1:5" ht="15.75" thickBot="1" x14ac:dyDescent="0.3">
      <c r="A92" s="110" t="s">
        <v>175</v>
      </c>
      <c r="B92" s="111"/>
      <c r="C92" s="111"/>
      <c r="D92" s="111"/>
      <c r="E92" s="112"/>
    </row>
  </sheetData>
  <sheetProtection sheet="1" objects="1" scenarios="1" formatCells="0" formatColumns="0" formatRows="0"/>
  <mergeCells count="77">
    <mergeCell ref="C15:H15"/>
    <mergeCell ref="I15:L15"/>
    <mergeCell ref="I5:L5"/>
    <mergeCell ref="I6:L6"/>
    <mergeCell ref="I7:L7"/>
    <mergeCell ref="I8:L8"/>
    <mergeCell ref="I9:L9"/>
    <mergeCell ref="I10:L10"/>
    <mergeCell ref="I11:L11"/>
    <mergeCell ref="I12:L12"/>
    <mergeCell ref="I13:L13"/>
    <mergeCell ref="C14:H14"/>
    <mergeCell ref="I14:L14"/>
    <mergeCell ref="I26:L26"/>
    <mergeCell ref="C16:H16"/>
    <mergeCell ref="I16:L16"/>
    <mergeCell ref="C17:H17"/>
    <mergeCell ref="I17:L17"/>
    <mergeCell ref="D19:H19"/>
    <mergeCell ref="I20:L20"/>
    <mergeCell ref="I21:L21"/>
    <mergeCell ref="I22:L22"/>
    <mergeCell ref="I23:L23"/>
    <mergeCell ref="I24:L24"/>
    <mergeCell ref="I25:L25"/>
    <mergeCell ref="I27:L27"/>
    <mergeCell ref="I28:L28"/>
    <mergeCell ref="C29:H29"/>
    <mergeCell ref="I29:L29"/>
    <mergeCell ref="C31:H31"/>
    <mergeCell ref="I31:L31"/>
    <mergeCell ref="C43:E43"/>
    <mergeCell ref="F43:I43"/>
    <mergeCell ref="C32:H32"/>
    <mergeCell ref="I32:L32"/>
    <mergeCell ref="F35:I35"/>
    <mergeCell ref="F36:I36"/>
    <mergeCell ref="F37:I37"/>
    <mergeCell ref="F38:I38"/>
    <mergeCell ref="F50:I50"/>
    <mergeCell ref="F39:I39"/>
    <mergeCell ref="F40:I40"/>
    <mergeCell ref="F41:I41"/>
    <mergeCell ref="F42:I42"/>
    <mergeCell ref="C44:E44"/>
    <mergeCell ref="F44:I44"/>
    <mergeCell ref="F47:I47"/>
    <mergeCell ref="F48:I48"/>
    <mergeCell ref="F49:I49"/>
    <mergeCell ref="F51:I51"/>
    <mergeCell ref="F52:I52"/>
    <mergeCell ref="C53:E53"/>
    <mergeCell ref="F53:I53"/>
    <mergeCell ref="C54:E54"/>
    <mergeCell ref="F54:I54"/>
    <mergeCell ref="C55:E55"/>
    <mergeCell ref="F55:I55"/>
    <mergeCell ref="C56:E56"/>
    <mergeCell ref="F56:I56"/>
    <mergeCell ref="C59:D59"/>
    <mergeCell ref="G59:J59"/>
    <mergeCell ref="C60:D60"/>
    <mergeCell ref="G60:J60"/>
    <mergeCell ref="C61:D61"/>
    <mergeCell ref="G61:J61"/>
    <mergeCell ref="C62:D62"/>
    <mergeCell ref="G62:J62"/>
    <mergeCell ref="G63:J63"/>
    <mergeCell ref="F66:I66"/>
    <mergeCell ref="F67:I67"/>
    <mergeCell ref="F68:I68"/>
    <mergeCell ref="C79:D79"/>
    <mergeCell ref="A89:E89"/>
    <mergeCell ref="A90:E90"/>
    <mergeCell ref="A91:E91"/>
    <mergeCell ref="A92:E92"/>
    <mergeCell ref="C63:D63"/>
  </mergeCells>
  <hyperlinks>
    <hyperlink ref="M12" r:id="rId1" display="https://hero.epa.gov/hero/index.cfm/reference/details/reference_id/7485096" xr:uid="{2EFE9AA7-178E-4E5F-A6E4-375D9436C622}"/>
    <hyperlink ref="M11" r:id="rId2" display="https://hero.epa.gov/hero/index.cfm/reference/details/reference_id/4565445" xr:uid="{0983C4C5-5491-4608-BA67-1F92C381FB2F}"/>
    <hyperlink ref="M6" r:id="rId3" display="https://hero.epa.gov/hero/index.cfm/reference/details/reference_id/7267482" xr:uid="{35FAAA7D-7A49-4B10-A606-722F6C16D787}"/>
    <hyperlink ref="M13" r:id="rId4" display="https://hero.epa.gov/hero/index.cfm/reference/details/reference_id/7485096" xr:uid="{AB9DBF28-E094-469A-9375-4C9C743B933A}"/>
    <hyperlink ref="M14" r:id="rId5" display="https://hero.epa.gov/hero/index.cfm/reference/details/reference_id/7485096" xr:uid="{5C41A5C2-9832-4848-97CE-2B11B9A29004}"/>
    <hyperlink ref="M8" r:id="rId6" display="https://hero.epa.gov/hero/index.cfm/reference/details/reference_id/7485096" xr:uid="{8BF54223-4057-42C5-98CA-2146C206EA12}"/>
    <hyperlink ref="M7" r:id="rId7" display="https://hero.epa.gov/hero/index.cfm/reference/details/reference_id/7267482" xr:uid="{2C74B98A-B2F0-4566-9349-C0B68CA484F2}"/>
    <hyperlink ref="M27" r:id="rId8" display="https://hero.epa.gov/hero/index.cfm/reference/details/reference_id/7485096" xr:uid="{1E389682-CBFA-4C70-AED4-A8AC4702EF2B}"/>
    <hyperlink ref="M26" r:id="rId9" display="https://hero.epa.gov/hero/index.cfm/reference/details/reference_id/4565445" xr:uid="{39C9C16E-810E-4474-BCFD-6FD1FD0B6EAA}"/>
    <hyperlink ref="M28" r:id="rId10" display="https://hero.epa.gov/hero/index.cfm/reference/details/reference_id/7485096" xr:uid="{26E74670-3760-460E-8209-89D361D93E24}"/>
    <hyperlink ref="M29" r:id="rId11" display="https://hero.epa.gov/hero/index.cfm/reference/details/reference_id/7485096" xr:uid="{1B20950C-40AE-495D-BF0F-D8FA216761C5}"/>
    <hyperlink ref="M23" r:id="rId12" display="https://hero.epa.gov/hero/index.cfm/reference/details/reference_id/7485096" xr:uid="{2A4ABC49-B6A7-4D3F-83D2-0F0EE305E6B9}"/>
    <hyperlink ref="J50" r:id="rId13" display="https://hero.epa.gov/hero/index.cfm/reference/details/reference_id/6811897" xr:uid="{842135C0-5B4F-4819-A86B-F1D8FD6B79DD}"/>
    <hyperlink ref="J48" r:id="rId14" display="https://hero.epa.gov/hero/index.cfm/reference/details/reference_id/7485096" xr:uid="{D867BBD6-F778-40C6-B94D-16E6DB4683F6}"/>
    <hyperlink ref="J51" r:id="rId15" display="https://hero.epa.gov/hero/index.cfm/reference/details/reference_id/7485096" xr:uid="{A4658B95-7257-4FE4-AC99-1BFFDDB3FDB0}"/>
    <hyperlink ref="J52" r:id="rId16" display="https://hero.epa.gov/hero/index.cfm/reference/details/reference_id/7485096" xr:uid="{C4CC5B36-2399-4779-A400-7AEEF6084CD9}"/>
    <hyperlink ref="J49" r:id="rId17" display="https://hero.epa.gov/hero/index.cfm/reference/details/reference_id/6811897" xr:uid="{1A590AE3-4589-4082-97BC-C7472BE41319}"/>
    <hyperlink ref="J36" r:id="rId18" display="https://hero.epa.gov/hero/index.cfm/reference/details/reference_id/7267482" xr:uid="{4620116D-2B72-4A6F-A086-F963D2F35F35}"/>
    <hyperlink ref="J37" r:id="rId19" display="https://hero.epa.gov/hero/index.cfm/reference/details/reference_id/7485096" xr:uid="{1AE3B429-7B2B-4C06-A609-5443D3DA7C2F}"/>
    <hyperlink ref="J41" r:id="rId20" display="https://hero.epa.gov/hero/index.cfm/reference/details/reference_id/7485096" xr:uid="{1138CA81-2390-4D3F-A056-490C197093D9}"/>
    <hyperlink ref="J42" r:id="rId21" display="https://hero.epa.gov/hero/index.cfm/reference/details/reference_id/7485096" xr:uid="{00DB54F0-8DA4-4F27-8C81-07CE0AB1870E}"/>
    <hyperlink ref="J38" r:id="rId22" display="https://hero.epa.gov/hero/index.cfm/reference/details/reference_id/6811897" xr:uid="{232F6CC9-8886-41BD-8A74-A033171A4466}"/>
  </hyperlinks>
  <pageMargins left="0.7" right="0.7" top="0.75" bottom="0.75" header="0.3" footer="0.3"/>
  <pageSetup orientation="portrait"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92189-8F40-4E80-BEBB-73418B9D90A4}">
  <dimension ref="A1:R110"/>
  <sheetViews>
    <sheetView workbookViewId="0"/>
  </sheetViews>
  <sheetFormatPr defaultColWidth="8.7109375" defaultRowHeight="15" x14ac:dyDescent="0.25"/>
  <cols>
    <col min="1" max="9" width="8.7109375" style="5"/>
    <col min="10" max="10" width="31.140625" style="5" customWidth="1"/>
    <col min="11" max="11" width="40" style="5" customWidth="1"/>
    <col min="12" max="12" width="8.7109375" style="5"/>
    <col min="13" max="13" width="12.7109375" style="5" customWidth="1"/>
    <col min="14" max="15" width="8.7109375" style="5"/>
    <col min="16" max="16" width="10.140625" style="5" customWidth="1"/>
    <col min="17" max="17" width="14.140625" style="5" customWidth="1"/>
    <col min="18" max="16384" width="8.7109375" style="5"/>
  </cols>
  <sheetData>
    <row r="1" spans="1:17" x14ac:dyDescent="0.25">
      <c r="A1" s="4"/>
      <c r="B1" s="4"/>
      <c r="G1" s="4"/>
      <c r="I1"/>
    </row>
    <row r="3" spans="1:17" ht="15.6" customHeight="1" x14ac:dyDescent="0.25">
      <c r="A3" s="6" t="s">
        <v>176</v>
      </c>
      <c r="J3" s="7"/>
      <c r="K3" s="8" t="s">
        <v>177</v>
      </c>
      <c r="L3" s="9"/>
      <c r="M3" s="9"/>
    </row>
    <row r="4" spans="1:17" ht="14.45" customHeight="1" x14ac:dyDescent="0.25">
      <c r="I4" s="7"/>
      <c r="J4" s="7"/>
      <c r="K4" s="8" t="s">
        <v>178</v>
      </c>
      <c r="L4" s="9" t="s">
        <v>179</v>
      </c>
      <c r="M4" s="9"/>
    </row>
    <row r="5" spans="1:17" ht="14.45" customHeight="1" x14ac:dyDescent="0.25">
      <c r="J5" s="7"/>
      <c r="K5" s="6" t="s">
        <v>180</v>
      </c>
      <c r="L5" s="5">
        <v>10</v>
      </c>
    </row>
    <row r="6" spans="1:17" ht="14.45" customHeight="1" x14ac:dyDescent="0.25">
      <c r="I6" s="7"/>
      <c r="J6" s="7"/>
      <c r="K6" s="6" t="s">
        <v>181</v>
      </c>
      <c r="L6" s="8" t="s">
        <v>182</v>
      </c>
      <c r="M6" s="8" t="s">
        <v>183</v>
      </c>
      <c r="N6" s="6"/>
      <c r="P6" s="6" t="s">
        <v>182</v>
      </c>
      <c r="Q6" s="6" t="s">
        <v>183</v>
      </c>
    </row>
    <row r="7" spans="1:17" ht="14.45" customHeight="1" x14ac:dyDescent="0.25">
      <c r="I7" s="7"/>
      <c r="J7" s="7"/>
      <c r="K7" s="8" t="s">
        <v>41</v>
      </c>
      <c r="L7" s="8" t="s">
        <v>184</v>
      </c>
      <c r="M7" s="6" t="s">
        <v>184</v>
      </c>
      <c r="N7" s="8" t="s">
        <v>185</v>
      </c>
      <c r="O7" s="10" t="s">
        <v>186</v>
      </c>
      <c r="P7" s="11">
        <f>(L8*(1-L10/100)*L11*L13*L20)/(L19*L16)</f>
        <v>2.4145394736842106E-6</v>
      </c>
      <c r="Q7" s="11">
        <f>(M8*(1-M10/100)*M11*M13*M20)/(M19*M16)</f>
        <v>8.4714893617021284E-6</v>
      </c>
    </row>
    <row r="8" spans="1:17" ht="14.45" customHeight="1" x14ac:dyDescent="0.25">
      <c r="I8" s="7"/>
      <c r="J8" s="7"/>
      <c r="K8" s="9" t="s">
        <v>187</v>
      </c>
      <c r="L8" s="9">
        <v>0.06</v>
      </c>
      <c r="M8" s="9">
        <v>0.06</v>
      </c>
      <c r="N8" s="9" t="s">
        <v>151</v>
      </c>
      <c r="O8" s="10" t="s">
        <v>188</v>
      </c>
      <c r="P8" s="11">
        <f>(L9*(1-L10/100)*L12*L15*L14*L20)/(L19*L17*L21)</f>
        <v>1.2651982696467197E-8</v>
      </c>
      <c r="Q8" s="11">
        <f>(M9*(1-M10/100)*M12*M15*M14*M20)/(M19*M17*M21)</f>
        <v>3.231710871466045E-8</v>
      </c>
    </row>
    <row r="9" spans="1:17" ht="14.45" customHeight="1" x14ac:dyDescent="0.25">
      <c r="I9" s="7"/>
      <c r="J9" s="7"/>
      <c r="K9" s="9" t="s">
        <v>189</v>
      </c>
      <c r="L9" s="9">
        <v>4.2000000000000003E-2</v>
      </c>
      <c r="M9" s="9">
        <v>4.2000000000000003E-2</v>
      </c>
      <c r="N9" s="9" t="s">
        <v>151</v>
      </c>
      <c r="O9" s="10" t="s">
        <v>190</v>
      </c>
      <c r="P9" s="11">
        <f>(L9*(1-L10/100)*L12*L15*L14*L20)/(L19*L18*L21)</f>
        <v>5.3527619100438142E-9</v>
      </c>
      <c r="Q9" s="11">
        <f>(M9*(1-M10/100)*M12*M15*M14*M20)/(M19*M18*M21)</f>
        <v>4.1432190659821089E-10</v>
      </c>
    </row>
    <row r="10" spans="1:17" ht="14.45" customHeight="1" x14ac:dyDescent="0.25">
      <c r="I10" s="7"/>
      <c r="J10" s="7"/>
      <c r="K10" s="9" t="s">
        <v>80</v>
      </c>
      <c r="L10" s="9">
        <v>0</v>
      </c>
      <c r="M10" s="9">
        <v>0</v>
      </c>
      <c r="N10" s="9" t="s">
        <v>191</v>
      </c>
      <c r="O10" s="10" t="s">
        <v>192</v>
      </c>
      <c r="P10" s="11">
        <f>(L9*(1-L10/100)*L15*L14*L20)/(L18*L21)</f>
        <v>4.8682824025289777E-7</v>
      </c>
      <c r="Q10" s="11">
        <f>(M9*(1-M10/100)*M15*M14*M20)/(M18*M21)</f>
        <v>1.4752370916754482E-8</v>
      </c>
    </row>
    <row r="11" spans="1:17" ht="14.45" customHeight="1" x14ac:dyDescent="0.25">
      <c r="I11" s="7"/>
      <c r="J11" s="7"/>
      <c r="K11" s="9" t="s">
        <v>193</v>
      </c>
      <c r="L11" s="12">
        <v>3.2193859649122807</v>
      </c>
      <c r="M11" s="9">
        <v>1.1060000000000001</v>
      </c>
      <c r="N11" s="9" t="s">
        <v>194</v>
      </c>
    </row>
    <row r="12" spans="1:17" ht="14.45" customHeight="1" x14ac:dyDescent="0.25">
      <c r="I12" s="7"/>
      <c r="J12" s="7"/>
      <c r="K12" s="9" t="s">
        <v>195</v>
      </c>
      <c r="L12" s="5">
        <v>0.87961403508771929</v>
      </c>
      <c r="M12" s="5">
        <v>0.22</v>
      </c>
    </row>
    <row r="13" spans="1:17" ht="14.45" customHeight="1" x14ac:dyDescent="0.25">
      <c r="I13" s="7"/>
      <c r="J13" s="7"/>
      <c r="K13" s="9" t="s">
        <v>196</v>
      </c>
      <c r="L13" s="9">
        <v>1</v>
      </c>
      <c r="M13" s="9">
        <v>1</v>
      </c>
      <c r="N13" s="9" t="s">
        <v>197</v>
      </c>
    </row>
    <row r="14" spans="1:17" ht="14.45" customHeight="1" x14ac:dyDescent="0.25">
      <c r="I14" s="7"/>
      <c r="J14" s="7"/>
      <c r="K14" s="9" t="s">
        <v>198</v>
      </c>
      <c r="L14" s="9">
        <v>10</v>
      </c>
      <c r="M14" s="9">
        <v>10</v>
      </c>
      <c r="N14" s="9" t="s">
        <v>199</v>
      </c>
      <c r="P14" s="13"/>
    </row>
    <row r="15" spans="1:17" ht="14.45" customHeight="1" x14ac:dyDescent="0.25">
      <c r="I15" s="7"/>
      <c r="J15" s="7"/>
      <c r="K15" s="9" t="s">
        <v>200</v>
      </c>
      <c r="L15" s="9">
        <v>33</v>
      </c>
      <c r="M15" s="9">
        <v>1</v>
      </c>
      <c r="N15" s="9" t="s">
        <v>201</v>
      </c>
      <c r="P15" s="13"/>
    </row>
    <row r="16" spans="1:17" ht="14.45" customHeight="1" x14ac:dyDescent="0.25">
      <c r="I16" s="7"/>
      <c r="J16" s="7"/>
      <c r="K16" s="9" t="s">
        <v>202</v>
      </c>
      <c r="L16" s="9">
        <v>1</v>
      </c>
      <c r="M16" s="9">
        <v>1</v>
      </c>
      <c r="N16" s="9" t="s">
        <v>197</v>
      </c>
      <c r="P16" s="13"/>
    </row>
    <row r="17" spans="1:16" ht="14.45" customHeight="1" x14ac:dyDescent="0.25">
      <c r="I17" s="7"/>
      <c r="J17" s="7"/>
      <c r="K17" s="9" t="s">
        <v>203</v>
      </c>
      <c r="L17" s="9">
        <v>33</v>
      </c>
      <c r="M17" s="9">
        <v>1</v>
      </c>
      <c r="N17" s="9" t="s">
        <v>201</v>
      </c>
      <c r="P17" s="13"/>
    </row>
    <row r="18" spans="1:16" ht="14.45" customHeight="1" x14ac:dyDescent="0.25">
      <c r="I18" s="7"/>
      <c r="J18" s="7"/>
      <c r="K18" s="9" t="s">
        <v>204</v>
      </c>
      <c r="L18" s="9">
        <v>78</v>
      </c>
      <c r="M18" s="9">
        <v>78</v>
      </c>
      <c r="N18" s="9" t="s">
        <v>201</v>
      </c>
    </row>
    <row r="19" spans="1:16" ht="16.5" x14ac:dyDescent="0.25">
      <c r="A19" s="9" t="s">
        <v>205</v>
      </c>
      <c r="B19" s="9" t="s">
        <v>206</v>
      </c>
      <c r="C19" s="9" t="s">
        <v>207</v>
      </c>
      <c r="K19" s="9" t="s">
        <v>208</v>
      </c>
      <c r="L19" s="5">
        <v>80</v>
      </c>
      <c r="M19" s="14">
        <v>7.833333333333333</v>
      </c>
      <c r="N19" s="5" t="s">
        <v>209</v>
      </c>
    </row>
    <row r="20" spans="1:16" ht="16.5" x14ac:dyDescent="0.25">
      <c r="A20" s="9" t="s">
        <v>210</v>
      </c>
      <c r="B20" s="9" t="s">
        <v>206</v>
      </c>
      <c r="C20" s="9" t="s">
        <v>211</v>
      </c>
      <c r="K20" s="9" t="s">
        <v>212</v>
      </c>
      <c r="L20" s="5">
        <v>1E-3</v>
      </c>
      <c r="M20" s="5">
        <v>1E-3</v>
      </c>
      <c r="N20" s="9" t="s">
        <v>213</v>
      </c>
    </row>
    <row r="21" spans="1:16" ht="16.5" x14ac:dyDescent="0.25">
      <c r="A21" s="9" t="s">
        <v>214</v>
      </c>
      <c r="B21" s="9" t="s">
        <v>206</v>
      </c>
      <c r="C21" s="9" t="s">
        <v>215</v>
      </c>
      <c r="K21" s="9" t="s">
        <v>216</v>
      </c>
      <c r="L21" s="5">
        <v>365</v>
      </c>
      <c r="M21" s="5">
        <v>365</v>
      </c>
      <c r="N21" s="5" t="s">
        <v>217</v>
      </c>
    </row>
    <row r="22" spans="1:16" ht="16.5" x14ac:dyDescent="0.25">
      <c r="A22" s="9" t="s">
        <v>218</v>
      </c>
      <c r="B22" s="9" t="s">
        <v>206</v>
      </c>
      <c r="C22" s="9" t="s">
        <v>219</v>
      </c>
    </row>
    <row r="23" spans="1:16" x14ac:dyDescent="0.25">
      <c r="A23" s="9" t="s">
        <v>220</v>
      </c>
      <c r="B23" s="9" t="s">
        <v>206</v>
      </c>
      <c r="C23" s="9" t="s">
        <v>221</v>
      </c>
    </row>
    <row r="24" spans="1:16" x14ac:dyDescent="0.25">
      <c r="A24" s="9" t="s">
        <v>80</v>
      </c>
      <c r="B24" s="9" t="s">
        <v>206</v>
      </c>
      <c r="C24" s="9" t="s">
        <v>222</v>
      </c>
    </row>
    <row r="25" spans="1:16" ht="16.5" x14ac:dyDescent="0.25">
      <c r="A25" s="9" t="s">
        <v>223</v>
      </c>
      <c r="B25" s="9" t="s">
        <v>206</v>
      </c>
      <c r="C25" s="9" t="s">
        <v>224</v>
      </c>
    </row>
    <row r="26" spans="1:16" ht="16.5" x14ac:dyDescent="0.25">
      <c r="A26" s="9" t="s">
        <v>225</v>
      </c>
      <c r="B26" s="9" t="s">
        <v>206</v>
      </c>
      <c r="C26" s="9" t="s">
        <v>226</v>
      </c>
    </row>
    <row r="27" spans="1:16" x14ac:dyDescent="0.25">
      <c r="A27" s="9" t="s">
        <v>70</v>
      </c>
      <c r="B27" s="9" t="s">
        <v>206</v>
      </c>
      <c r="C27" s="9" t="s">
        <v>227</v>
      </c>
    </row>
    <row r="28" spans="1:16" x14ac:dyDescent="0.25">
      <c r="A28" s="9" t="s">
        <v>58</v>
      </c>
      <c r="B28" s="9" t="s">
        <v>206</v>
      </c>
      <c r="C28" s="9" t="s">
        <v>59</v>
      </c>
    </row>
    <row r="29" spans="1:16" x14ac:dyDescent="0.25">
      <c r="A29" s="9" t="s">
        <v>66</v>
      </c>
      <c r="B29" s="9" t="s">
        <v>206</v>
      </c>
      <c r="C29" s="9" t="s">
        <v>227</v>
      </c>
    </row>
    <row r="30" spans="1:16" x14ac:dyDescent="0.25">
      <c r="A30" s="9" t="s">
        <v>76</v>
      </c>
      <c r="B30" s="9" t="s">
        <v>206</v>
      </c>
      <c r="C30" s="9" t="s">
        <v>228</v>
      </c>
    </row>
    <row r="31" spans="1:16" x14ac:dyDescent="0.25">
      <c r="A31" s="9" t="s">
        <v>78</v>
      </c>
      <c r="B31" s="9" t="s">
        <v>206</v>
      </c>
      <c r="C31" s="9" t="s">
        <v>229</v>
      </c>
    </row>
    <row r="32" spans="1:16" x14ac:dyDescent="0.25">
      <c r="A32" s="9"/>
      <c r="B32" s="9"/>
      <c r="C32" s="9"/>
      <c r="K32" s="15"/>
    </row>
    <row r="33" spans="1:17" ht="15.6" customHeight="1" x14ac:dyDescent="0.25">
      <c r="A33" s="136" t="s">
        <v>230</v>
      </c>
      <c r="B33" s="136"/>
      <c r="C33" s="136"/>
      <c r="D33" s="136"/>
      <c r="E33" s="136"/>
      <c r="F33" s="136"/>
      <c r="G33" s="136"/>
      <c r="H33" s="136"/>
      <c r="I33" s="136"/>
      <c r="J33" s="136"/>
      <c r="K33" s="15"/>
    </row>
    <row r="34" spans="1:17" ht="15.6" customHeight="1" x14ac:dyDescent="0.25">
      <c r="A34" s="136"/>
      <c r="B34" s="136"/>
      <c r="C34" s="136"/>
      <c r="D34" s="136"/>
      <c r="E34" s="136"/>
      <c r="F34" s="136"/>
      <c r="G34" s="136"/>
      <c r="H34" s="136"/>
      <c r="I34" s="136"/>
      <c r="J34" s="136"/>
      <c r="K34" s="15"/>
    </row>
    <row r="35" spans="1:17" ht="15.6" customHeight="1" x14ac:dyDescent="0.25">
      <c r="A35" s="136"/>
      <c r="B35" s="136"/>
      <c r="C35" s="136"/>
      <c r="D35" s="136"/>
      <c r="E35" s="136"/>
      <c r="F35" s="136"/>
      <c r="G35" s="136"/>
      <c r="H35" s="136"/>
      <c r="I35" s="136"/>
      <c r="J35" s="136"/>
      <c r="K35" s="15"/>
    </row>
    <row r="36" spans="1:17" x14ac:dyDescent="0.25">
      <c r="A36" s="136"/>
      <c r="B36" s="136"/>
      <c r="C36" s="136"/>
      <c r="D36" s="136"/>
      <c r="E36" s="136"/>
      <c r="F36" s="136"/>
      <c r="G36" s="136"/>
      <c r="H36" s="136"/>
      <c r="I36" s="136"/>
      <c r="J36" s="136"/>
    </row>
    <row r="37" spans="1:17" x14ac:dyDescent="0.25">
      <c r="A37" s="136"/>
      <c r="B37" s="136"/>
      <c r="C37" s="136"/>
      <c r="D37" s="136"/>
      <c r="E37" s="136"/>
      <c r="F37" s="136"/>
      <c r="G37" s="136"/>
      <c r="H37" s="136"/>
      <c r="I37" s="136"/>
      <c r="J37" s="136"/>
    </row>
    <row r="38" spans="1:17" x14ac:dyDescent="0.25">
      <c r="A38" s="94"/>
      <c r="B38" s="94"/>
      <c r="C38" s="94"/>
      <c r="D38" s="94"/>
      <c r="E38" s="94"/>
      <c r="F38" s="94"/>
      <c r="G38" s="94"/>
      <c r="H38" s="94"/>
      <c r="I38" s="94"/>
      <c r="J38" s="94"/>
    </row>
    <row r="39" spans="1:17" x14ac:dyDescent="0.25">
      <c r="A39" s="6" t="s">
        <v>231</v>
      </c>
      <c r="B39" s="94"/>
      <c r="C39" s="94"/>
      <c r="D39" s="94"/>
      <c r="E39" s="94"/>
      <c r="F39" s="94"/>
      <c r="G39" s="94"/>
      <c r="H39" s="94"/>
      <c r="I39" s="94"/>
      <c r="J39" s="94"/>
      <c r="K39" s="8" t="s">
        <v>232</v>
      </c>
      <c r="L39" s="9"/>
      <c r="M39" s="9"/>
    </row>
    <row r="40" spans="1:17" x14ac:dyDescent="0.25">
      <c r="A40" s="94"/>
      <c r="B40" s="94"/>
      <c r="C40" s="94"/>
      <c r="D40" s="94"/>
      <c r="E40" s="94"/>
      <c r="F40" s="94"/>
      <c r="G40" s="94"/>
      <c r="H40" s="94"/>
      <c r="I40" s="94"/>
      <c r="J40" s="94"/>
      <c r="K40" s="8" t="s">
        <v>178</v>
      </c>
      <c r="L40" s="9" t="s">
        <v>179</v>
      </c>
      <c r="M40" s="9"/>
    </row>
    <row r="41" spans="1:17" x14ac:dyDescent="0.25">
      <c r="A41"/>
      <c r="B41" s="94"/>
      <c r="C41" s="94"/>
      <c r="D41" s="94"/>
      <c r="E41" s="94"/>
      <c r="F41" s="94"/>
      <c r="G41" s="16"/>
      <c r="H41" s="94"/>
      <c r="I41" s="94"/>
      <c r="J41" s="94"/>
      <c r="K41" s="6" t="s">
        <v>180</v>
      </c>
      <c r="L41" s="5">
        <v>10</v>
      </c>
    </row>
    <row r="42" spans="1:17" x14ac:dyDescent="0.25">
      <c r="A42" s="94"/>
      <c r="B42" s="94"/>
      <c r="C42" s="94"/>
      <c r="D42" s="94"/>
      <c r="E42" s="94"/>
      <c r="F42" s="94"/>
      <c r="G42" s="94"/>
      <c r="H42" s="94"/>
      <c r="I42" s="94"/>
      <c r="J42" s="94"/>
      <c r="K42" s="6" t="s">
        <v>181</v>
      </c>
      <c r="L42" s="8" t="s">
        <v>182</v>
      </c>
      <c r="M42" s="8"/>
      <c r="N42" s="6"/>
      <c r="P42" s="6"/>
      <c r="Q42" s="6"/>
    </row>
    <row r="43" spans="1:17" x14ac:dyDescent="0.25">
      <c r="A43" s="94"/>
      <c r="B43" s="94"/>
      <c r="C43" s="94"/>
      <c r="D43" s="94"/>
      <c r="E43" s="94"/>
      <c r="F43" s="94"/>
      <c r="G43" s="94"/>
      <c r="H43" s="94"/>
      <c r="I43" s="94"/>
      <c r="J43" s="94"/>
      <c r="K43" s="8" t="s">
        <v>41</v>
      </c>
      <c r="L43" s="8" t="s">
        <v>184</v>
      </c>
      <c r="M43" s="6"/>
      <c r="N43" s="8" t="s">
        <v>185</v>
      </c>
      <c r="O43" s="10"/>
      <c r="P43" s="11"/>
      <c r="Q43" s="11"/>
    </row>
    <row r="44" spans="1:17" x14ac:dyDescent="0.25">
      <c r="A44"/>
      <c r="B44" s="94"/>
      <c r="C44" s="94"/>
      <c r="D44" s="94"/>
      <c r="E44" s="94"/>
      <c r="F44" s="94"/>
      <c r="G44" s="94"/>
      <c r="H44" s="94"/>
      <c r="I44" s="94"/>
      <c r="J44" s="94"/>
      <c r="K44" s="9" t="s">
        <v>187</v>
      </c>
      <c r="L44" s="9">
        <v>0.06</v>
      </c>
      <c r="M44" s="9"/>
      <c r="N44" s="9" t="s">
        <v>151</v>
      </c>
      <c r="O44" s="10"/>
      <c r="P44" s="11"/>
      <c r="Q44" s="11"/>
    </row>
    <row r="45" spans="1:17" x14ac:dyDescent="0.25">
      <c r="A45" s="94"/>
      <c r="B45" s="94"/>
      <c r="C45" s="94"/>
      <c r="D45" s="94"/>
      <c r="E45" s="94"/>
      <c r="F45" s="94"/>
      <c r="G45" s="94"/>
      <c r="H45" s="94"/>
      <c r="I45" s="94"/>
      <c r="J45" s="94"/>
      <c r="K45" s="9" t="s">
        <v>189</v>
      </c>
      <c r="L45" s="9">
        <v>4.2000000000000003E-2</v>
      </c>
      <c r="M45" s="9"/>
      <c r="N45" s="9" t="s">
        <v>151</v>
      </c>
      <c r="O45" s="10"/>
      <c r="P45" s="11"/>
      <c r="Q45" s="11"/>
    </row>
    <row r="46" spans="1:17" x14ac:dyDescent="0.25">
      <c r="A46" s="94"/>
      <c r="B46" s="94"/>
      <c r="C46" s="94"/>
      <c r="D46" s="94"/>
      <c r="E46" s="94"/>
      <c r="F46" s="94"/>
      <c r="G46" s="94"/>
      <c r="H46" s="94"/>
      <c r="I46" s="94"/>
      <c r="J46" s="94"/>
      <c r="K46" s="9" t="s">
        <v>99</v>
      </c>
      <c r="L46" s="9">
        <v>100</v>
      </c>
      <c r="M46" s="9"/>
      <c r="N46" s="9" t="s">
        <v>191</v>
      </c>
      <c r="O46" s="10"/>
      <c r="P46" s="11"/>
      <c r="Q46" s="11"/>
    </row>
    <row r="47" spans="1:17" x14ac:dyDescent="0.25">
      <c r="A47"/>
      <c r="B47" s="94"/>
      <c r="C47" s="94"/>
      <c r="D47" s="94"/>
      <c r="E47" s="94"/>
      <c r="F47" s="94"/>
      <c r="G47" s="94"/>
      <c r="H47" s="94"/>
      <c r="I47" s="94"/>
      <c r="J47" s="94"/>
      <c r="K47" s="9" t="s">
        <v>193</v>
      </c>
      <c r="L47" s="12">
        <v>279</v>
      </c>
      <c r="M47" s="9"/>
      <c r="N47" s="9" t="s">
        <v>194</v>
      </c>
    </row>
    <row r="48" spans="1:17" x14ac:dyDescent="0.25">
      <c r="A48" s="94"/>
      <c r="B48" s="94"/>
      <c r="C48" s="94"/>
      <c r="D48" s="94"/>
      <c r="E48" s="94"/>
      <c r="F48" s="94"/>
      <c r="G48" s="94"/>
      <c r="H48" s="94"/>
      <c r="I48" s="94"/>
      <c r="J48" s="94"/>
      <c r="K48" s="9" t="s">
        <v>195</v>
      </c>
      <c r="L48" s="5">
        <v>7.5</v>
      </c>
    </row>
    <row r="49" spans="1:18" x14ac:dyDescent="0.25">
      <c r="A49" s="94"/>
      <c r="B49" s="94"/>
      <c r="C49" s="94"/>
      <c r="D49" s="94"/>
      <c r="E49" s="94"/>
      <c r="F49" s="94"/>
      <c r="G49" s="94"/>
      <c r="H49" s="94"/>
      <c r="I49" s="94"/>
      <c r="J49" s="94"/>
      <c r="K49" s="9" t="s">
        <v>196</v>
      </c>
      <c r="L49" s="9">
        <v>1</v>
      </c>
      <c r="M49" s="9"/>
      <c r="N49" s="9" t="s">
        <v>197</v>
      </c>
    </row>
    <row r="50" spans="1:18" ht="16.5" x14ac:dyDescent="0.25">
      <c r="A50" s="9" t="s">
        <v>205</v>
      </c>
      <c r="B50" s="9" t="s">
        <v>206</v>
      </c>
      <c r="C50" s="9" t="s">
        <v>207</v>
      </c>
      <c r="E50" s="94"/>
      <c r="F50" s="94"/>
      <c r="G50" s="94"/>
      <c r="H50" s="94"/>
      <c r="I50" s="94"/>
      <c r="J50" s="94"/>
      <c r="K50" s="9" t="s">
        <v>198</v>
      </c>
      <c r="L50" s="9">
        <v>10</v>
      </c>
      <c r="M50" s="9"/>
      <c r="N50" s="9" t="s">
        <v>199</v>
      </c>
      <c r="P50" s="13"/>
    </row>
    <row r="51" spans="1:18" s="17" customFormat="1" ht="16.5" x14ac:dyDescent="0.25">
      <c r="A51" s="95" t="s">
        <v>233</v>
      </c>
      <c r="B51" s="95" t="s">
        <v>206</v>
      </c>
      <c r="C51" s="95" t="s">
        <v>211</v>
      </c>
      <c r="D51" s="96"/>
      <c r="E51" s="18"/>
      <c r="F51" s="18"/>
      <c r="G51" s="18"/>
      <c r="H51" s="18"/>
      <c r="I51" s="18"/>
      <c r="J51" s="18"/>
      <c r="K51" s="9" t="s">
        <v>200</v>
      </c>
      <c r="L51" s="9">
        <v>33</v>
      </c>
      <c r="M51" s="9"/>
      <c r="N51" s="9" t="s">
        <v>201</v>
      </c>
      <c r="O51" s="5"/>
      <c r="P51" s="13"/>
      <c r="Q51" s="5"/>
      <c r="R51" s="5"/>
    </row>
    <row r="52" spans="1:18" ht="16.5" x14ac:dyDescent="0.25">
      <c r="A52" s="9" t="s">
        <v>214</v>
      </c>
      <c r="B52" s="9" t="s">
        <v>206</v>
      </c>
      <c r="C52" s="9" t="s">
        <v>215</v>
      </c>
      <c r="E52" s="94"/>
      <c r="F52" s="94"/>
      <c r="G52" s="94"/>
      <c r="H52" s="94"/>
      <c r="I52" s="94"/>
      <c r="J52" s="94"/>
      <c r="K52" s="9" t="s">
        <v>202</v>
      </c>
      <c r="L52" s="9">
        <v>1</v>
      </c>
      <c r="M52" s="9"/>
      <c r="N52" s="9" t="s">
        <v>197</v>
      </c>
      <c r="P52" s="13"/>
    </row>
    <row r="53" spans="1:18" ht="16.5" x14ac:dyDescent="0.25">
      <c r="A53" s="9" t="s">
        <v>218</v>
      </c>
      <c r="B53" s="9" t="s">
        <v>206</v>
      </c>
      <c r="C53" s="9" t="s">
        <v>219</v>
      </c>
      <c r="E53" s="94"/>
      <c r="F53" s="94"/>
      <c r="G53" s="94"/>
      <c r="H53" s="94"/>
      <c r="I53" s="94"/>
      <c r="J53" s="94"/>
      <c r="K53" s="9" t="s">
        <v>203</v>
      </c>
      <c r="L53" s="9">
        <v>33</v>
      </c>
      <c r="M53" s="9"/>
      <c r="N53" s="9" t="s">
        <v>201</v>
      </c>
      <c r="P53" s="13"/>
    </row>
    <row r="54" spans="1:18" x14ac:dyDescent="0.25">
      <c r="A54" s="9" t="s">
        <v>220</v>
      </c>
      <c r="B54" s="9" t="s">
        <v>206</v>
      </c>
      <c r="C54" s="9" t="s">
        <v>234</v>
      </c>
      <c r="E54" s="94"/>
      <c r="F54" s="94"/>
      <c r="G54" s="94"/>
      <c r="H54" s="94"/>
      <c r="I54" s="94"/>
      <c r="J54" s="94"/>
      <c r="K54" s="9" t="s">
        <v>204</v>
      </c>
      <c r="L54" s="9">
        <v>78</v>
      </c>
      <c r="M54" s="9"/>
      <c r="N54" s="9" t="s">
        <v>201</v>
      </c>
    </row>
    <row r="55" spans="1:18" x14ac:dyDescent="0.25">
      <c r="A55" s="9" t="s">
        <v>99</v>
      </c>
      <c r="B55" s="9" t="s">
        <v>206</v>
      </c>
      <c r="C55" s="9" t="s">
        <v>235</v>
      </c>
      <c r="E55" s="94"/>
      <c r="F55" s="94"/>
      <c r="G55" s="94"/>
      <c r="H55" s="94"/>
      <c r="I55" s="94"/>
      <c r="J55" s="94"/>
      <c r="K55" s="9" t="s">
        <v>208</v>
      </c>
      <c r="L55" s="5">
        <v>80</v>
      </c>
      <c r="M55" s="14"/>
      <c r="N55" s="5" t="s">
        <v>209</v>
      </c>
    </row>
    <row r="56" spans="1:18" ht="16.5" x14ac:dyDescent="0.25">
      <c r="A56" s="9" t="s">
        <v>236</v>
      </c>
      <c r="B56" s="9" t="s">
        <v>206</v>
      </c>
      <c r="C56" s="9" t="s">
        <v>237</v>
      </c>
      <c r="E56" s="94"/>
      <c r="F56" s="94"/>
      <c r="G56" s="94"/>
      <c r="H56" s="94"/>
      <c r="I56" s="94"/>
      <c r="J56" s="94"/>
      <c r="K56" s="9" t="s">
        <v>212</v>
      </c>
      <c r="L56" s="5">
        <v>1E-3</v>
      </c>
      <c r="N56" s="9" t="s">
        <v>213</v>
      </c>
    </row>
    <row r="57" spans="1:18" ht="16.5" x14ac:dyDescent="0.25">
      <c r="A57" s="9" t="s">
        <v>225</v>
      </c>
      <c r="B57" s="9" t="s">
        <v>206</v>
      </c>
      <c r="C57" s="9" t="s">
        <v>226</v>
      </c>
      <c r="E57" s="94"/>
      <c r="F57" s="94"/>
      <c r="G57" s="94"/>
      <c r="H57" s="94"/>
      <c r="I57" s="94"/>
      <c r="J57" s="94"/>
      <c r="K57" s="9" t="s">
        <v>216</v>
      </c>
      <c r="L57" s="5">
        <v>365</v>
      </c>
      <c r="N57" s="5" t="s">
        <v>217</v>
      </c>
    </row>
    <row r="58" spans="1:18" x14ac:dyDescent="0.25">
      <c r="A58" s="9" t="s">
        <v>70</v>
      </c>
      <c r="B58" s="9" t="s">
        <v>206</v>
      </c>
      <c r="C58" s="9" t="s">
        <v>227</v>
      </c>
      <c r="E58" s="94"/>
      <c r="F58" s="94"/>
      <c r="G58" s="94"/>
      <c r="H58" s="94"/>
      <c r="I58" s="94"/>
      <c r="J58" s="94"/>
    </row>
    <row r="59" spans="1:18" x14ac:dyDescent="0.25">
      <c r="A59" s="9" t="s">
        <v>58</v>
      </c>
      <c r="B59" s="9" t="s">
        <v>206</v>
      </c>
      <c r="C59" s="9" t="s">
        <v>59</v>
      </c>
      <c r="E59" s="94"/>
      <c r="F59" s="94"/>
      <c r="G59" s="94"/>
      <c r="H59" s="94"/>
      <c r="I59" s="94"/>
      <c r="J59" s="94"/>
    </row>
    <row r="60" spans="1:18" x14ac:dyDescent="0.25">
      <c r="A60" s="9" t="s">
        <v>66</v>
      </c>
      <c r="B60" s="9" t="s">
        <v>206</v>
      </c>
      <c r="C60" s="9" t="s">
        <v>227</v>
      </c>
      <c r="E60" s="94"/>
      <c r="F60" s="94"/>
      <c r="G60" s="94"/>
      <c r="H60" s="94"/>
      <c r="I60" s="94"/>
      <c r="J60" s="94"/>
    </row>
    <row r="61" spans="1:18" x14ac:dyDescent="0.25">
      <c r="A61" s="9" t="s">
        <v>76</v>
      </c>
      <c r="B61" s="9" t="s">
        <v>206</v>
      </c>
      <c r="C61" s="9" t="s">
        <v>228</v>
      </c>
      <c r="E61" s="94"/>
      <c r="F61" s="94"/>
      <c r="G61" s="94"/>
      <c r="H61" s="94"/>
      <c r="I61" s="94"/>
      <c r="J61" s="94"/>
    </row>
    <row r="62" spans="1:18" x14ac:dyDescent="0.25">
      <c r="A62" s="9" t="s">
        <v>78</v>
      </c>
      <c r="B62" s="9" t="s">
        <v>206</v>
      </c>
      <c r="C62" s="9" t="s">
        <v>229</v>
      </c>
      <c r="E62" s="94"/>
      <c r="F62" s="94"/>
      <c r="G62" s="94"/>
      <c r="H62" s="94"/>
      <c r="I62" s="94"/>
      <c r="J62" s="94"/>
    </row>
    <row r="63" spans="1:18" x14ac:dyDescent="0.25">
      <c r="A63" s="9"/>
      <c r="B63" s="9"/>
      <c r="C63" s="9"/>
      <c r="E63" s="94"/>
      <c r="F63" s="94"/>
      <c r="G63" s="94"/>
      <c r="H63" s="94"/>
      <c r="I63" s="94"/>
      <c r="J63" s="94"/>
    </row>
    <row r="64" spans="1:18" ht="14.1" customHeight="1" x14ac:dyDescent="0.25">
      <c r="A64" s="136" t="s">
        <v>238</v>
      </c>
      <c r="B64" s="136"/>
      <c r="C64" s="136"/>
      <c r="D64" s="136"/>
      <c r="E64" s="136"/>
      <c r="F64" s="136"/>
      <c r="G64" s="136"/>
      <c r="H64" s="136"/>
      <c r="I64" s="136"/>
      <c r="J64" s="136"/>
    </row>
    <row r="65" spans="1:17" x14ac:dyDescent="0.25">
      <c r="A65" s="136"/>
      <c r="B65" s="136"/>
      <c r="C65" s="136"/>
      <c r="D65" s="136"/>
      <c r="E65" s="136"/>
      <c r="F65" s="136"/>
      <c r="G65" s="136"/>
      <c r="H65" s="136"/>
      <c r="I65" s="136"/>
      <c r="J65" s="136"/>
    </row>
    <row r="66" spans="1:17" x14ac:dyDescent="0.25">
      <c r="A66" s="136"/>
      <c r="B66" s="136"/>
      <c r="C66" s="136"/>
      <c r="D66" s="136"/>
      <c r="E66" s="136"/>
      <c r="F66" s="136"/>
      <c r="G66" s="136"/>
      <c r="H66" s="136"/>
      <c r="I66" s="136"/>
      <c r="J66" s="136"/>
    </row>
    <row r="67" spans="1:17" x14ac:dyDescent="0.25">
      <c r="A67" s="136"/>
      <c r="B67" s="136"/>
      <c r="C67" s="136"/>
      <c r="D67" s="136"/>
      <c r="E67" s="136"/>
      <c r="F67" s="136"/>
      <c r="G67" s="136"/>
      <c r="H67" s="136"/>
      <c r="I67" s="136"/>
      <c r="J67" s="136"/>
    </row>
    <row r="68" spans="1:17" x14ac:dyDescent="0.25">
      <c r="A68" s="136"/>
      <c r="B68" s="136"/>
      <c r="C68" s="136"/>
      <c r="D68" s="136"/>
      <c r="E68" s="136"/>
      <c r="F68" s="136"/>
      <c r="G68" s="136"/>
      <c r="H68" s="136"/>
      <c r="I68" s="136"/>
      <c r="J68" s="136"/>
    </row>
    <row r="69" spans="1:17" x14ac:dyDescent="0.25">
      <c r="A69" s="136"/>
      <c r="B69" s="136"/>
      <c r="C69" s="136"/>
      <c r="D69" s="136"/>
      <c r="E69" s="136"/>
      <c r="F69" s="136"/>
      <c r="G69" s="136"/>
      <c r="H69" s="136"/>
      <c r="I69" s="136"/>
      <c r="J69" s="136"/>
    </row>
    <row r="70" spans="1:17" x14ac:dyDescent="0.25">
      <c r="A70" s="136"/>
      <c r="B70" s="136"/>
      <c r="C70" s="136"/>
      <c r="D70" s="136"/>
      <c r="E70" s="136"/>
      <c r="F70" s="136"/>
      <c r="G70" s="136"/>
      <c r="H70" s="136"/>
      <c r="I70" s="136"/>
      <c r="J70" s="136"/>
    </row>
    <row r="72" spans="1:17" x14ac:dyDescent="0.25">
      <c r="A72" s="6" t="s">
        <v>239</v>
      </c>
      <c r="K72" s="8" t="s">
        <v>240</v>
      </c>
      <c r="L72" s="9"/>
      <c r="M72" s="9"/>
    </row>
    <row r="73" spans="1:17" x14ac:dyDescent="0.25">
      <c r="K73" s="8" t="s">
        <v>178</v>
      </c>
      <c r="L73" s="9" t="s">
        <v>179</v>
      </c>
      <c r="M73" s="9"/>
    </row>
    <row r="74" spans="1:17" x14ac:dyDescent="0.25">
      <c r="K74" s="6" t="s">
        <v>180</v>
      </c>
      <c r="L74" s="5">
        <v>10</v>
      </c>
    </row>
    <row r="75" spans="1:17" x14ac:dyDescent="0.25">
      <c r="K75" s="6" t="s">
        <v>181</v>
      </c>
      <c r="L75" s="8" t="s">
        <v>182</v>
      </c>
      <c r="M75" s="8" t="s">
        <v>183</v>
      </c>
      <c r="N75" s="6"/>
      <c r="P75" s="6"/>
      <c r="Q75" s="6"/>
    </row>
    <row r="76" spans="1:17" x14ac:dyDescent="0.25">
      <c r="K76" s="8" t="s">
        <v>41</v>
      </c>
      <c r="L76" s="8" t="s">
        <v>184</v>
      </c>
      <c r="M76" s="6" t="s">
        <v>184</v>
      </c>
      <c r="N76" s="8" t="s">
        <v>185</v>
      </c>
      <c r="O76" s="10"/>
      <c r="P76" s="19" t="s">
        <v>182</v>
      </c>
      <c r="Q76" s="19" t="s">
        <v>241</v>
      </c>
    </row>
    <row r="77" spans="1:17" x14ac:dyDescent="0.25">
      <c r="K77" s="9" t="s">
        <v>187</v>
      </c>
      <c r="L77" s="9">
        <v>0.06</v>
      </c>
      <c r="M77" s="9">
        <v>0.06</v>
      </c>
      <c r="N77" s="9" t="s">
        <v>151</v>
      </c>
      <c r="O77" s="10" t="s">
        <v>186</v>
      </c>
      <c r="P77" s="11">
        <f>L77*L81*L86/L85</f>
        <v>2.0700000000000001E-7</v>
      </c>
      <c r="Q77" s="11">
        <f>M77*M81*M86/M85</f>
        <v>3.2112676056338026E-7</v>
      </c>
    </row>
    <row r="78" spans="1:17" x14ac:dyDescent="0.25">
      <c r="K78" s="9" t="s">
        <v>189</v>
      </c>
      <c r="L78" s="9">
        <v>4.2000000000000003E-2</v>
      </c>
      <c r="M78" s="9">
        <v>4.2000000000000003E-2</v>
      </c>
      <c r="N78" s="9" t="s">
        <v>151</v>
      </c>
      <c r="O78" s="10" t="s">
        <v>188</v>
      </c>
      <c r="P78" s="11">
        <f>(L78*L81*L83*L82*L86)/(L85*L84*L87)</f>
        <v>3.9698630136986307E-9</v>
      </c>
      <c r="Q78" s="11">
        <f>(M78*M81*M83*M82*M86)/(M85*M84*M87)</f>
        <v>6.1585954080648273E-9</v>
      </c>
    </row>
    <row r="79" spans="1:17" x14ac:dyDescent="0.25">
      <c r="A79" s="9" t="s">
        <v>242</v>
      </c>
      <c r="B79" s="9" t="s">
        <v>206</v>
      </c>
      <c r="C79" s="9" t="s">
        <v>243</v>
      </c>
      <c r="K79" s="9" t="s">
        <v>244</v>
      </c>
      <c r="L79" s="9">
        <v>9.1999999999999998E-2</v>
      </c>
      <c r="M79" s="9">
        <v>0.152</v>
      </c>
      <c r="N79" s="9" t="s">
        <v>245</v>
      </c>
      <c r="O79" s="10"/>
      <c r="P79" s="11"/>
      <c r="Q79" s="11"/>
    </row>
    <row r="80" spans="1:17" x14ac:dyDescent="0.25">
      <c r="A80" s="9" t="s">
        <v>246</v>
      </c>
      <c r="B80" s="9" t="s">
        <v>206</v>
      </c>
      <c r="C80" s="9" t="s">
        <v>247</v>
      </c>
      <c r="K80" s="9" t="s">
        <v>248</v>
      </c>
      <c r="L80" s="9">
        <v>3</v>
      </c>
      <c r="M80" s="9">
        <v>2</v>
      </c>
      <c r="N80" s="5" t="s">
        <v>249</v>
      </c>
    </row>
    <row r="81" spans="1:17" x14ac:dyDescent="0.25">
      <c r="A81" s="9" t="s">
        <v>220</v>
      </c>
      <c r="B81" s="9" t="s">
        <v>206</v>
      </c>
      <c r="C81" s="9" t="s">
        <v>234</v>
      </c>
      <c r="K81" s="9" t="s">
        <v>250</v>
      </c>
      <c r="L81" s="5">
        <f>L79*L80</f>
        <v>0.27600000000000002</v>
      </c>
      <c r="M81" s="5">
        <f>M79*M80</f>
        <v>0.30399999999999999</v>
      </c>
      <c r="N81" s="9" t="s">
        <v>194</v>
      </c>
    </row>
    <row r="82" spans="1:17" x14ac:dyDescent="0.25">
      <c r="A82" s="9" t="s">
        <v>251</v>
      </c>
      <c r="B82" s="9" t="s">
        <v>206</v>
      </c>
      <c r="C82" s="9" t="s">
        <v>252</v>
      </c>
      <c r="K82" s="9" t="s">
        <v>253</v>
      </c>
      <c r="L82" s="9">
        <v>10</v>
      </c>
      <c r="M82" s="9">
        <v>10</v>
      </c>
      <c r="N82" s="9" t="s">
        <v>199</v>
      </c>
    </row>
    <row r="83" spans="1:17" x14ac:dyDescent="0.25">
      <c r="A83" s="9" t="s">
        <v>225</v>
      </c>
      <c r="B83" s="9" t="s">
        <v>206</v>
      </c>
      <c r="C83" s="9" t="s">
        <v>254</v>
      </c>
      <c r="K83" s="9" t="s">
        <v>255</v>
      </c>
      <c r="L83" s="9">
        <v>33</v>
      </c>
      <c r="M83" s="9">
        <v>5</v>
      </c>
      <c r="N83" s="9" t="s">
        <v>201</v>
      </c>
      <c r="P83" s="13"/>
    </row>
    <row r="84" spans="1:17" x14ac:dyDescent="0.25">
      <c r="A84" s="9" t="s">
        <v>70</v>
      </c>
      <c r="B84" s="9" t="s">
        <v>206</v>
      </c>
      <c r="C84" s="9" t="s">
        <v>256</v>
      </c>
      <c r="K84" s="9" t="s">
        <v>203</v>
      </c>
      <c r="L84" s="9">
        <v>33</v>
      </c>
      <c r="M84" s="9">
        <v>5</v>
      </c>
      <c r="N84" s="9" t="s">
        <v>201</v>
      </c>
      <c r="P84" s="13"/>
    </row>
    <row r="85" spans="1:17" x14ac:dyDescent="0.25">
      <c r="A85" s="9" t="s">
        <v>58</v>
      </c>
      <c r="B85" s="9" t="s">
        <v>206</v>
      </c>
      <c r="C85" s="9" t="s">
        <v>59</v>
      </c>
      <c r="K85" s="9" t="s">
        <v>208</v>
      </c>
      <c r="L85" s="5">
        <v>80</v>
      </c>
      <c r="M85" s="5">
        <v>56.8</v>
      </c>
      <c r="N85" s="5" t="s">
        <v>209</v>
      </c>
      <c r="P85" s="13"/>
    </row>
    <row r="86" spans="1:17" x14ac:dyDescent="0.25">
      <c r="A86" s="9" t="s">
        <v>66</v>
      </c>
      <c r="B86" s="9" t="s">
        <v>206</v>
      </c>
      <c r="C86" s="9" t="s">
        <v>257</v>
      </c>
      <c r="K86" s="9" t="s">
        <v>212</v>
      </c>
      <c r="L86" s="5">
        <v>1E-3</v>
      </c>
      <c r="M86" s="5">
        <v>1E-3</v>
      </c>
      <c r="N86" s="9" t="s">
        <v>213</v>
      </c>
      <c r="P86" s="13"/>
    </row>
    <row r="87" spans="1:17" x14ac:dyDescent="0.25">
      <c r="A87" s="9" t="s">
        <v>76</v>
      </c>
      <c r="B87" s="9" t="s">
        <v>206</v>
      </c>
      <c r="C87" s="9" t="s">
        <v>228</v>
      </c>
      <c r="K87" s="9" t="s">
        <v>216</v>
      </c>
      <c r="L87" s="5">
        <v>365</v>
      </c>
      <c r="M87" s="5">
        <v>365</v>
      </c>
      <c r="N87" s="5" t="s">
        <v>217</v>
      </c>
    </row>
    <row r="88" spans="1:17" x14ac:dyDescent="0.25">
      <c r="A88" s="9" t="s">
        <v>78</v>
      </c>
      <c r="B88" s="9" t="s">
        <v>206</v>
      </c>
      <c r="C88" s="9" t="s">
        <v>229</v>
      </c>
    </row>
    <row r="90" spans="1:17" x14ac:dyDescent="0.25">
      <c r="A90" s="9"/>
      <c r="B90" s="9"/>
      <c r="C90" s="9"/>
    </row>
    <row r="91" spans="1:17" x14ac:dyDescent="0.25">
      <c r="A91" s="6" t="s">
        <v>258</v>
      </c>
      <c r="K91" s="8" t="s">
        <v>259</v>
      </c>
      <c r="L91" s="9"/>
      <c r="M91" s="9"/>
    </row>
    <row r="92" spans="1:17" x14ac:dyDescent="0.25">
      <c r="K92" s="8" t="s">
        <v>178</v>
      </c>
      <c r="L92" s="9" t="s">
        <v>179</v>
      </c>
      <c r="M92" s="9"/>
    </row>
    <row r="93" spans="1:17" x14ac:dyDescent="0.25">
      <c r="K93" s="6" t="s">
        <v>180</v>
      </c>
      <c r="L93" s="5">
        <v>10</v>
      </c>
    </row>
    <row r="94" spans="1:17" x14ac:dyDescent="0.25">
      <c r="K94" s="6" t="s">
        <v>181</v>
      </c>
      <c r="L94" s="8" t="s">
        <v>182</v>
      </c>
      <c r="M94" s="8" t="s">
        <v>183</v>
      </c>
      <c r="N94" s="6"/>
      <c r="P94" s="6"/>
      <c r="Q94" s="6"/>
    </row>
    <row r="95" spans="1:17" x14ac:dyDescent="0.25">
      <c r="K95" s="8" t="s">
        <v>41</v>
      </c>
      <c r="L95" s="8" t="s">
        <v>184</v>
      </c>
      <c r="M95" s="6" t="s">
        <v>184</v>
      </c>
      <c r="N95" s="8" t="s">
        <v>185</v>
      </c>
      <c r="O95" s="10"/>
      <c r="P95" s="19" t="s">
        <v>182</v>
      </c>
      <c r="Q95" s="19" t="s">
        <v>241</v>
      </c>
    </row>
    <row r="96" spans="1:17" x14ac:dyDescent="0.25">
      <c r="K96" s="9" t="s">
        <v>187</v>
      </c>
      <c r="L96" s="9">
        <v>0.06</v>
      </c>
      <c r="M96" s="9">
        <v>0.06</v>
      </c>
      <c r="N96" s="9" t="s">
        <v>151</v>
      </c>
      <c r="O96" s="10" t="s">
        <v>186</v>
      </c>
      <c r="P96" s="11">
        <f>L96*L98*L99*L100*L105*L106/L104</f>
        <v>3.1458375E-7</v>
      </c>
      <c r="Q96" s="11">
        <f>M96*M98*M99*M100*M105*M106/M104</f>
        <v>2.4085140845070423E-7</v>
      </c>
    </row>
    <row r="97" spans="1:17" x14ac:dyDescent="0.25">
      <c r="K97" s="9" t="s">
        <v>189</v>
      </c>
      <c r="L97" s="9">
        <v>4.2000000000000003E-2</v>
      </c>
      <c r="M97" s="9">
        <v>4.2000000000000003E-2</v>
      </c>
      <c r="N97" s="9" t="s">
        <v>151</v>
      </c>
      <c r="O97" s="10" t="s">
        <v>188</v>
      </c>
      <c r="P97" s="11">
        <f>(L97*L98*L99*L100*L101*L102*L105*L106)/(L104*L103*L107)</f>
        <v>6.0331130136986318E-9</v>
      </c>
      <c r="Q97" s="11">
        <f>(M97*M98*M99*M100*M101*M102*M105*M106)/(M104*M103*M107)</f>
        <v>4.6190681072737797E-9</v>
      </c>
    </row>
    <row r="98" spans="1:17" x14ac:dyDescent="0.25">
      <c r="A98" s="9" t="s">
        <v>242</v>
      </c>
      <c r="B98" s="9" t="s">
        <v>206</v>
      </c>
      <c r="C98" s="9" t="s">
        <v>243</v>
      </c>
      <c r="K98" s="9" t="s">
        <v>260</v>
      </c>
      <c r="L98" s="9">
        <v>7.1700000000000002E-3</v>
      </c>
      <c r="M98" s="9">
        <v>7.1700000000000002E-3</v>
      </c>
      <c r="N98" s="9" t="s">
        <v>261</v>
      </c>
      <c r="P98" s="13"/>
      <c r="Q98" s="13"/>
    </row>
    <row r="99" spans="1:17" ht="18" x14ac:dyDescent="0.25">
      <c r="A99" s="9" t="s">
        <v>246</v>
      </c>
      <c r="B99" s="9" t="s">
        <v>206</v>
      </c>
      <c r="C99" s="9" t="s">
        <v>247</v>
      </c>
      <c r="K99" s="9" t="s">
        <v>262</v>
      </c>
      <c r="L99" s="9">
        <v>19500</v>
      </c>
      <c r="M99" s="9">
        <v>15900</v>
      </c>
      <c r="N99" s="9" t="s">
        <v>263</v>
      </c>
      <c r="P99" s="13"/>
      <c r="Q99" s="13"/>
    </row>
    <row r="100" spans="1:17" x14ac:dyDescent="0.25">
      <c r="A100" s="9" t="s">
        <v>220</v>
      </c>
      <c r="B100" s="9" t="s">
        <v>206</v>
      </c>
      <c r="C100" s="9" t="s">
        <v>264</v>
      </c>
      <c r="K100" s="9" t="s">
        <v>248</v>
      </c>
      <c r="L100" s="9">
        <v>3</v>
      </c>
      <c r="M100" s="9">
        <v>2</v>
      </c>
      <c r="N100" s="9" t="s">
        <v>249</v>
      </c>
    </row>
    <row r="101" spans="1:17" x14ac:dyDescent="0.25">
      <c r="A101" s="9" t="s">
        <v>123</v>
      </c>
      <c r="B101" s="9" t="s">
        <v>206</v>
      </c>
      <c r="C101" s="9" t="s">
        <v>124</v>
      </c>
      <c r="K101" s="9" t="s">
        <v>253</v>
      </c>
      <c r="L101" s="9">
        <v>10</v>
      </c>
      <c r="M101" s="9">
        <v>10</v>
      </c>
      <c r="N101" s="9" t="s">
        <v>199</v>
      </c>
    </row>
    <row r="102" spans="1:17" ht="18" x14ac:dyDescent="0.25">
      <c r="A102" s="9" t="s">
        <v>118</v>
      </c>
      <c r="B102" s="9" t="s">
        <v>206</v>
      </c>
      <c r="C102" s="9" t="s">
        <v>265</v>
      </c>
      <c r="K102" s="9" t="s">
        <v>255</v>
      </c>
      <c r="L102" s="9">
        <v>33</v>
      </c>
      <c r="M102" s="9">
        <v>5</v>
      </c>
      <c r="N102" s="9" t="s">
        <v>201</v>
      </c>
      <c r="P102" s="13"/>
    </row>
    <row r="103" spans="1:17" x14ac:dyDescent="0.25">
      <c r="A103" s="9" t="s">
        <v>106</v>
      </c>
      <c r="B103" s="5" t="s">
        <v>206</v>
      </c>
      <c r="C103" s="9" t="s">
        <v>107</v>
      </c>
      <c r="K103" s="9" t="s">
        <v>203</v>
      </c>
      <c r="L103" s="9">
        <v>33</v>
      </c>
      <c r="M103" s="9">
        <v>5</v>
      </c>
      <c r="N103" s="9" t="s">
        <v>201</v>
      </c>
      <c r="P103" s="13"/>
    </row>
    <row r="104" spans="1:17" x14ac:dyDescent="0.25">
      <c r="A104" s="9" t="s">
        <v>225</v>
      </c>
      <c r="B104" s="9" t="s">
        <v>206</v>
      </c>
      <c r="C104" s="9" t="s">
        <v>254</v>
      </c>
      <c r="K104" s="9" t="s">
        <v>208</v>
      </c>
      <c r="L104" s="5">
        <v>80</v>
      </c>
      <c r="M104" s="5">
        <v>56.8</v>
      </c>
      <c r="N104" s="5" t="s">
        <v>209</v>
      </c>
      <c r="P104" s="13"/>
    </row>
    <row r="105" spans="1:17" x14ac:dyDescent="0.25">
      <c r="A105" s="9" t="s">
        <v>70</v>
      </c>
      <c r="B105" s="9" t="s">
        <v>206</v>
      </c>
      <c r="C105" s="9" t="s">
        <v>256</v>
      </c>
      <c r="K105" s="9" t="s">
        <v>212</v>
      </c>
      <c r="L105" s="5">
        <v>1E-3</v>
      </c>
      <c r="M105" s="5">
        <v>1E-3</v>
      </c>
      <c r="N105" s="9" t="s">
        <v>213</v>
      </c>
      <c r="P105" s="13"/>
    </row>
    <row r="106" spans="1:17" ht="18" x14ac:dyDescent="0.25">
      <c r="A106" s="9" t="s">
        <v>58</v>
      </c>
      <c r="B106" s="9" t="s">
        <v>206</v>
      </c>
      <c r="C106" s="9" t="s">
        <v>59</v>
      </c>
      <c r="K106" s="9" t="s">
        <v>216</v>
      </c>
      <c r="L106" s="5">
        <v>1E-3</v>
      </c>
      <c r="M106" s="5">
        <v>1E-3</v>
      </c>
      <c r="N106" s="5" t="s">
        <v>266</v>
      </c>
    </row>
    <row r="107" spans="1:17" x14ac:dyDescent="0.25">
      <c r="A107" s="9" t="s">
        <v>66</v>
      </c>
      <c r="B107" s="9" t="s">
        <v>206</v>
      </c>
      <c r="C107" s="9" t="s">
        <v>257</v>
      </c>
      <c r="K107" s="9" t="s">
        <v>267</v>
      </c>
      <c r="L107" s="5">
        <v>365</v>
      </c>
      <c r="M107" s="5">
        <v>365</v>
      </c>
      <c r="N107" s="5" t="s">
        <v>217</v>
      </c>
    </row>
    <row r="108" spans="1:17" x14ac:dyDescent="0.25">
      <c r="A108" s="9" t="s">
        <v>76</v>
      </c>
      <c r="B108" s="9" t="s">
        <v>206</v>
      </c>
      <c r="C108" s="9" t="s">
        <v>228</v>
      </c>
    </row>
    <row r="109" spans="1:17" ht="18" x14ac:dyDescent="0.25">
      <c r="A109" s="9" t="s">
        <v>78</v>
      </c>
      <c r="B109" s="9" t="s">
        <v>206</v>
      </c>
      <c r="C109" s="9" t="s">
        <v>268</v>
      </c>
    </row>
    <row r="110" spans="1:17" x14ac:dyDescent="0.25">
      <c r="A110" s="9" t="s">
        <v>128</v>
      </c>
      <c r="B110" s="9" t="s">
        <v>206</v>
      </c>
      <c r="C110" s="9" t="s">
        <v>229</v>
      </c>
    </row>
  </sheetData>
  <sheetProtection sheet="1" objects="1" scenarios="1" formatCells="0" formatColumns="0" formatRows="0"/>
  <mergeCells count="2">
    <mergeCell ref="A33:J37"/>
    <mergeCell ref="A64:J7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f7663de67ef2afa6df94d55ff7e5679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02cccc19423a0cd6fa028e0a1e544b83"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Trichloroethylene</TermName>
          <TermId xmlns="http://schemas.microsoft.com/office/infopath/2007/PartnerControls">c1e70263-b092-4699-a03d-864e1054a69f</TermId>
        </TermInfo>
        <TermInfo xmlns="http://schemas.microsoft.com/office/infopath/2007/PartnerControls">
          <TermName xmlns="http://schemas.microsoft.com/office/infopath/2007/PartnerControls">CASRN 156-60-05</TermName>
          <TermId xmlns="http://schemas.microsoft.com/office/infopath/2007/PartnerControls">cde5430b-03a5-4236-baf4-b85772a29071</TermId>
        </TermInfo>
        <TermInfo xmlns="http://schemas.microsoft.com/office/infopath/2007/PartnerControls">
          <TermName xmlns="http://schemas.microsoft.com/office/infopath/2007/PartnerControls">trans12dichloroethane</TermName>
          <TermId xmlns="http://schemas.microsoft.com/office/infopath/2007/PartnerControls">60e4e04c-d3b1-46e2-be88-71c9357ef1d9</TermId>
        </TermInfo>
        <TermInfo xmlns="http://schemas.microsoft.com/office/infopath/2007/PartnerControls">
          <TermName xmlns="http://schemas.microsoft.com/office/infopath/2007/PartnerControls">CASRN 79-00-5</TermName>
          <TermId xmlns="http://schemas.microsoft.com/office/infopath/2007/PartnerControls">b56e66f1-a830-4a26-a58e-5ed7f9756a87</TermId>
        </TermInfo>
        <TermInfo xmlns="http://schemas.microsoft.com/office/infopath/2007/PartnerControls">
          <TermName xmlns="http://schemas.microsoft.com/office/infopath/2007/PartnerControls">112trichloroethane</TermName>
          <TermId xmlns="http://schemas.microsoft.com/office/infopath/2007/PartnerControls">b16dd643-a817-40a1-b5b6-140d19842d6c</TermId>
        </TermInfo>
        <TermInfo xmlns="http://schemas.microsoft.com/office/infopath/2007/PartnerControls">
          <TermName xmlns="http://schemas.microsoft.com/office/infopath/2007/PartnerControls">CASRN 75-09-2</TermName>
          <TermId xmlns="http://schemas.microsoft.com/office/infopath/2007/PartnerControls">d135f697-0505-445d-895c-bcc434be27ba</TermId>
        </TermInfo>
        <TermInfo xmlns="http://schemas.microsoft.com/office/infopath/2007/PartnerControls">
          <TermName xmlns="http://schemas.microsoft.com/office/infopath/2007/PartnerControls">CASRN 56-23-5</TermName>
          <TermId xmlns="http://schemas.microsoft.com/office/infopath/2007/PartnerControls">6ee86646-fcda-4837-ab99-7bf810e6ca55</TermId>
        </TermInfo>
        <TermInfo xmlns="http://schemas.microsoft.com/office/infopath/2007/PartnerControls">
          <TermName xmlns="http://schemas.microsoft.com/office/infopath/2007/PartnerControls">Carbon Tetrachloride</TermName>
          <TermId xmlns="http://schemas.microsoft.com/office/infopath/2007/PartnerControls">752a4454-40cf-4a71-8e53-01e10ded92a5</TermId>
        </TermInfo>
        <TermInfo xmlns="http://schemas.microsoft.com/office/infopath/2007/PartnerControls">
          <TermName xmlns="http://schemas.microsoft.com/office/infopath/2007/PartnerControls">CASRN 127-18-4</TermName>
          <TermId xmlns="http://schemas.microsoft.com/office/infopath/2007/PartnerControls">edfae95b-85f5-40c4-a383-88e919601952</TermId>
        </TermInfo>
        <TermInfo xmlns="http://schemas.microsoft.com/office/infopath/2007/PartnerControls">
          <TermName xmlns="http://schemas.microsoft.com/office/infopath/2007/PartnerControls">CASRN 79-01-6</TermName>
          <TermId xmlns="http://schemas.microsoft.com/office/infopath/2007/PartnerControls">339fc59a-0384-4b9c-aa44-02d7f3ae2d9b</TermId>
        </TermInfo>
        <TermInfo xmlns="http://schemas.microsoft.com/office/infopath/2007/PartnerControls">
          <TermName xmlns="http://schemas.microsoft.com/office/infopath/2007/PartnerControls">General Population Exposure</TermName>
          <TermId xmlns="http://schemas.microsoft.com/office/infopath/2007/PartnerControls">03eacd75-a05c-4f5c-aae7-a279a75aa373</TermId>
        </TermInfo>
        <TermInfo xmlns="http://schemas.microsoft.com/office/infopath/2007/PartnerControls">
          <TermName xmlns="http://schemas.microsoft.com/office/infopath/2007/PartnerControls">Byproducts</TermName>
          <TermId xmlns="http://schemas.microsoft.com/office/infopath/2007/PartnerControls">77c9c981-a712-4230-a0e1-6cca46d960dc</TermId>
        </TermInfo>
        <TermInfo xmlns="http://schemas.microsoft.com/office/infopath/2007/PartnerControls">
          <TermName xmlns="http://schemas.microsoft.com/office/infopath/2007/PartnerControls">11Dichloroethane</TermName>
          <TermId xmlns="http://schemas.microsoft.com/office/infopath/2007/PartnerControls">f0553ca5-25fa-4f60-8a15-ba2924ee9f47</TermId>
        </TermInfo>
        <TermInfo xmlns="http://schemas.microsoft.com/office/infopath/2007/PartnerControls">
          <TermName xmlns="http://schemas.microsoft.com/office/infopath/2007/PartnerControls">CASRN 75-34-3</TermName>
          <TermId xmlns="http://schemas.microsoft.com/office/infopath/2007/PartnerControls">68eb818b-f6c9-42ec-97d1-d101eff5e078</TermId>
        </TermInfo>
        <TermInfo xmlns="http://schemas.microsoft.com/office/infopath/2007/PartnerControls">
          <TermName xmlns="http://schemas.microsoft.com/office/infopath/2007/PartnerControls">CASRN 107-06-2</TermName>
          <TermId xmlns="http://schemas.microsoft.com/office/infopath/2007/PartnerControls">f01d8752-e9a4-4691-bb25-53c3aaed59fd</TermId>
        </TermInfo>
        <TermInfo xmlns="http://schemas.microsoft.com/office/infopath/2007/PartnerControls">
          <TermName xmlns="http://schemas.microsoft.com/office/infopath/2007/PartnerControls">methylene chloride</TermName>
          <TermId xmlns="http://schemas.microsoft.com/office/infopath/2007/PartnerControls">595245b4-e890-4bac-81f1-ecee2a664b7b</TermId>
        </TermInfo>
        <TermInfo xmlns="http://schemas.microsoft.com/office/infopath/2007/PartnerControls">
          <TermName xmlns="http://schemas.microsoft.com/office/infopath/2007/PartnerControls">12Dichloroethane</TermName>
          <TermId xmlns="http://schemas.microsoft.com/office/infopath/2007/PartnerControls">b26867e0-e188-4d8d-b848-2e1a306b3e93</TermId>
        </TermInfo>
        <TermInfo xmlns="http://schemas.microsoft.com/office/infopath/2007/PartnerControls">
          <TermName xmlns="http://schemas.microsoft.com/office/infopath/2007/PartnerControls">manufacturing</TermName>
          <TermId xmlns="http://schemas.microsoft.com/office/infopath/2007/PartnerControls">47981908-e42d-4c8a-b361-a63a3e221a38</TermId>
        </TermInfo>
        <TermInfo xmlns="http://schemas.microsoft.com/office/infopath/2007/PartnerControls">
          <TermName xmlns="http://schemas.microsoft.com/office/infopath/2007/PartnerControls">perchloroethylene</TermName>
          <TermId xmlns="http://schemas.microsoft.com/office/infopath/2007/PartnerControls">6cfbd0ee-19a5-43e2-b27f-84c0d3c1e024</TermId>
        </TermInfo>
      </Terms>
    </TaxKeywordTaxHTField>
    <Record xmlns="4ffa91fb-a0ff-4ac5-b2db-65c790d184a4">Shared</Record>
    <_ip_UnifiedCompliancePolicyProperties xmlns="http://schemas.microsoft.com/sharepoint/v3" xsi:nil="true"/>
    <Rights xmlns="4ffa91fb-a0ff-4ac5-b2db-65c790d184a4" xsi:nil="true"/>
    <lcf76f155ced4ddcb4097134ff3c332f xmlns="ead8da0f-3542-4e50-96c8-f1f698624e86">
      <Terms xmlns="http://schemas.microsoft.com/office/infopath/2007/PartnerControls"/>
    </lcf76f155ced4ddcb4097134ff3c332f>
    <Document_x0020_Creation_x0020_Date xmlns="4ffa91fb-a0ff-4ac5-b2db-65c790d184a4">2024-08-02T18:53:53+00:00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1257</Value>
      <Value>1915</Value>
      <Value>1914</Value>
      <Value>1913</Value>
      <Value>1912</Value>
      <Value>1911</Value>
      <Value>1910</Value>
      <Value>1909</Value>
      <Value>1908</Value>
      <Value>1907</Value>
      <Value>1906</Value>
      <Value>1905</Value>
      <Value>1645</Value>
      <Value>1647</Value>
      <Value>1673</Value>
      <Value>1188</Value>
      <Value>1671</Value>
      <Value>745</Value>
      <Value>2039</Value>
    </TaxCatchAll>
  </documentManagement>
</p:properties>
</file>

<file path=customXml/itemProps1.xml><?xml version="1.0" encoding="utf-8"?>
<ds:datastoreItem xmlns:ds="http://schemas.openxmlformats.org/officeDocument/2006/customXml" ds:itemID="{56C89416-1F04-4A2D-86B4-8BAE85DD5163}">
  <ds:schemaRefs>
    <ds:schemaRef ds:uri="http://schemas.microsoft.com/sharepoint/v3/contenttype/forms"/>
  </ds:schemaRefs>
</ds:datastoreItem>
</file>

<file path=customXml/itemProps2.xml><?xml version="1.0" encoding="utf-8"?>
<ds:datastoreItem xmlns:ds="http://schemas.openxmlformats.org/officeDocument/2006/customXml" ds:itemID="{0BD1DD8E-D7BA-4C15-948A-77AA043CC091}">
  <ds:schemaRefs>
    <ds:schemaRef ds:uri="Microsoft.SharePoint.Taxonomy.ContentTypeSync"/>
  </ds:schemaRefs>
</ds:datastoreItem>
</file>

<file path=customXml/itemProps3.xml><?xml version="1.0" encoding="utf-8"?>
<ds:datastoreItem xmlns:ds="http://schemas.openxmlformats.org/officeDocument/2006/customXml" ds:itemID="{31D49408-A208-412B-908D-08D09EF4A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fecc2597-e8fd-4279-ac06-bd7c891938be"/>
    <ds:schemaRef ds:uri="ead8da0f-3542-4e50-96c8-f1f698624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1188C8-A89C-4F09-ADC8-9FA5ED2670ED}">
  <ds:schemaRefs>
    <ds:schemaRef ds:uri="http://purl.org/dc/terms/"/>
    <ds:schemaRef ds:uri="http://schemas.microsoft.com/office/infopath/2007/PartnerControls"/>
    <ds:schemaRef ds:uri="http://schemas.microsoft.com/office/2006/documentManagement/types"/>
    <ds:schemaRef ds:uri="http://purl.org/dc/elements/1.1/"/>
    <ds:schemaRef ds:uri="http://purl.org/dc/dcmitype/"/>
    <ds:schemaRef ds:uri="fecc2597-e8fd-4279-ac06-bd7c891938be"/>
    <ds:schemaRef ds:uri="http://schemas.microsoft.com/office/2006/metadata/properties"/>
    <ds:schemaRef ds:uri="http://schemas.openxmlformats.org/package/2006/metadata/core-properties"/>
    <ds:schemaRef ds:uri="http://schemas.microsoft.com/sharepoint/v3"/>
    <ds:schemaRef ds:uri="ead8da0f-3542-4e50-96c8-f1f698624e86"/>
    <ds:schemaRef ds:uri="http://schemas.microsoft.com/sharepoint/v3/fields"/>
    <ds:schemaRef ds:uri="http://schemas.microsoft.com/sharepoint.v3"/>
    <ds:schemaRef ds:uri="4ffa91fb-a0ff-4ac5-b2db-65c790d184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Byproduct_Oral_Dermal</vt:lpstr>
      <vt:lpstr>Exposure Inputs</vt:lpstr>
      <vt:lpstr>Exposure Equations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Byproducts General Population Exposures for 1,2-Dichloroethane</dc:title>
  <dc:subject>Risk Evaluation for 1,2-Dichloroethane</dc:subject>
  <dc:creator>US EPA</dc:creator>
  <cp:keywords>12Dichloroethane ; CASRN 107-06-2 ; Byproducts ; manufacturing ; General Population Exposure ; 11Dichloroethane ; CASRN 75-34-3 ; Trichloroethylene ; CASRN 79-01-6 ; perchloroethylene ; CASRN 127-18-4 ; Carbon Tetrachloride ; CASRN 56-23-5 ; methylene chloride ; CASRN 75-09-2 ; 112trichloroethane ; CASRN 79-00-5 ; trans12dichloroethane ; CASRN 156-60-05</cp:keywords>
  <dc:description/>
  <cp:lastModifiedBy>Stanfield, Kelley</cp:lastModifiedBy>
  <cp:revision/>
  <dcterms:created xsi:type="dcterms:W3CDTF">2024-05-17T15:24:37Z</dcterms:created>
  <dcterms:modified xsi:type="dcterms:W3CDTF">2026-04-30T17:40:53Z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TaxKeyword">
    <vt:lpwstr>1257;#Trichloroethylene|c1e70263-b092-4699-a03d-864e1054a69f;#1915;#CASRN 156-60-05|cde5430b-03a5-4236-baf4-b85772a29071;#1914;#trans12dichloroethane|60e4e04c-d3b1-46e2-be88-71c9357ef1d9;#1913;#CASRN 79-00-5|b56e66f1-a830-4a26-a58e-5ed7f9756a87;#1912;#112trichloroethane|b16dd643-a817-40a1-b5b6-140d19842d6c;#1911;#CASRN 75-09-2|d135f697-0505-445d-895c-bcc434be27ba;#1910;#CASRN 56-23-5|6ee86646-fcda-4837-ab99-7bf810e6ca55;#1909;#Carbon Tetrachloride|752a4454-40cf-4a71-8e53-01e10ded92a5;#1908;#CASRN 127-18-4|edfae95b-85f5-40c4-a383-88e919601952;#1907;#CASRN 79-01-6|339fc59a-0384-4b9c-aa44-02d7f3ae2d9b;#1906;#General Population Exposure|03eacd75-a05c-4f5c-aae7-a279a75aa373;#1905;#Byproducts|77c9c981-a712-4230-a0e1-6cca46d960dc;#1645;#11Dichloroethane|f0553ca5-25fa-4f60-8a15-ba2924ee9f47;#1647;#CASRN 75-34-3|68eb818b-f6c9-42ec-97d1-d101eff5e078;#1673;#CASRN 107-06-2|f01d8752-e9a4-4691-bb25-53c3aaed59fd;#1188;#methylene chloride|595245b4-e890-4bac-81f1-ecee2a664b7b;#1671;#12Dichloroethane|b26867e0-e188-4d8d-b848-2e1a306b3e93;#745;#manufacturing|47981908-e42d-4c8a-b361-a63a3e221a38;#2039;#perchloroethylene|6cfbd0ee-19a5-43e2-b27f-84c0d3c1e024</vt:lpwstr>
  </property>
  <property fmtid="{D5CDD505-2E9C-101B-9397-08002B2CF9AE}" pid="4" name="MediaServiceImageTags">
    <vt:lpwstr/>
  </property>
  <property fmtid="{D5CDD505-2E9C-101B-9397-08002B2CF9AE}" pid="5" name="EPA Subject">
    <vt:lpwstr/>
  </property>
  <property fmtid="{D5CDD505-2E9C-101B-9397-08002B2CF9AE}" pid="6" name="Document Type">
    <vt:lpwstr/>
  </property>
  <property fmtid="{D5CDD505-2E9C-101B-9397-08002B2CF9AE}" pid="7" name="Document_x0020_Type">
    <vt:lpwstr/>
  </property>
  <property fmtid="{D5CDD505-2E9C-101B-9397-08002B2CF9AE}" pid="8" name="EPA_x0020_Subject">
    <vt:lpwstr/>
  </property>
</Properties>
</file>