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stanfield_kelley_epa_gov/Documents/Desktop/12DCA FINAL DOCKET/"/>
    </mc:Choice>
  </mc:AlternateContent>
  <xr:revisionPtr revIDLastSave="134" documentId="8_{E5E71821-346E-4272-A425-DF89E288A8EC}" xr6:coauthVersionLast="47" xr6:coauthVersionMax="47" xr10:uidLastSave="{51EE8170-8479-4912-A294-AB0A8AE093F6}"/>
  <bookViews>
    <workbookView xWindow="-120" yWindow="-120" windowWidth="29040" windowHeight="15720" tabRatio="899" xr2:uid="{3E844F0C-A553-4D64-AF66-7A91699FB198}"/>
  </bookViews>
  <sheets>
    <sheet name="Cover Page" sheetId="98" r:id="rId1"/>
    <sheet name="ReadMe" sheetId="89" r:id="rId2"/>
    <sheet name="Max Release DW Calcs (0% DWT)" sheetId="93" r:id="rId3"/>
    <sheet name="Max Release Oral Calc" sheetId="82" r:id="rId4"/>
    <sheet name="Max Release Derm Calc" sheetId="83" r:id="rId5"/>
    <sheet name="Exposure Inputs" sheetId="69" r:id="rId6"/>
    <sheet name="Exposure Equations" sheetId="81" r:id="rId7"/>
    <sheet name="Dilution Instream conc" sheetId="97" r:id="rId8"/>
  </sheets>
  <definedNames>
    <definedName name="_2017NEI_Nonpoint_TSCA_Chem_List">#REF!</definedName>
    <definedName name="_2017NEI_tsca_chemicals_wSCCdetail_Query">#REF!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localSheetId="0" hidden="1">-1</definedName>
    <definedName name="_AtRisk_SimSetting_MultipleCPUCount" hidden="1">8</definedName>
    <definedName name="_AtRisk_SimSetting_MultipleCPUManualCount" hidden="1">8</definedName>
    <definedName name="_AtRisk_SimSetting_MultipleCPUMode" localSheetId="0" hidden="1">1</definedName>
    <definedName name="_AtRisk_SimSetting_MultipleCPUMode" hidden="1">2</definedName>
    <definedName name="_AtRisk_SimSetting_MultipleCPUModeV8" localSheetId="0" hidden="1">1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7" hidden="1">'Dilution Instream conc'!$A$2:$BN$91</definedName>
    <definedName name="_xlnm._FilterDatabase" localSheetId="4" hidden="1">'Max Release Derm Calc'!$A$4:$I$10</definedName>
    <definedName name="_xlnm._FilterDatabase" localSheetId="2" hidden="1">'Max Release DW Calcs (0% DWT)'!$A$4:$AQ$10</definedName>
    <definedName name="_xlnm._FilterDatabase" localSheetId="3" hidden="1">'Max Release Oral Calc'!$A$4:$I$10</definedName>
    <definedName name="AT">#REF!</definedName>
    <definedName name="AT_50th_non_cancer">#REF!</definedName>
    <definedName name="AT_50th_non_cancer_DC">#REF!</definedName>
    <definedName name="AT_95th_non_cancer">#REF!</definedName>
    <definedName name="AT_95th_non_cancer_DC">#REF!</definedName>
    <definedName name="AT_AC">#REF!</definedName>
    <definedName name="AT_AC_DC">#REF!</definedName>
    <definedName name="AT_ADC_high">#REF!</definedName>
    <definedName name="AT_ADC_mid">#REF!</definedName>
    <definedName name="AT_cancer">#REF!</definedName>
    <definedName name="AT_cancer_DC">#REF!</definedName>
    <definedName name="AT_LADC">#REF!</definedName>
    <definedName name="AWD">#REF!</definedName>
    <definedName name="AWD_DC_50th">#REF!</definedName>
    <definedName name="AWD_DC_95th">#REF!</definedName>
    <definedName name="CASRN">#REF!</definedName>
    <definedName name="ED">#REF!</definedName>
    <definedName name="ED_AC">#REF!</definedName>
    <definedName name="ED_AC_DC">#REF!</definedName>
    <definedName name="ED_chronic">#REF!</definedName>
    <definedName name="ED_chronic_DC">#REF!</definedName>
    <definedName name="EF">#REF!</definedName>
    <definedName name="EG">#REF!</definedName>
    <definedName name="Pal_Workbook_GUID" hidden="1">"SK39RLEDQA2L46YW8H5SUKN3"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localSheetId="0" hidden="1">TRUE</definedName>
    <definedName name="RiskMultipleCPUSupportEnabled" hidden="1">FALSE</definedName>
    <definedName name="RiskNumIterations" hidden="1">100000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localSheetId="0" hidden="1">TRUE</definedName>
    <definedName name="RiskUseMultipleCPUs" hidden="1">FALSE</definedName>
    <definedName name="what">#REF!</definedName>
    <definedName name="WY_50th">#REF!</definedName>
    <definedName name="WY_50th_DC">#REF!</definedName>
    <definedName name="WY_95th">#REF!</definedName>
    <definedName name="WY_95th_DC">#REF!</definedName>
    <definedName name="WY_high">#REF!</definedName>
    <definedName name="WY_mi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2" i="97" l="1"/>
  <c r="BI91" i="97"/>
  <c r="AY91" i="97"/>
  <c r="BI90" i="97"/>
  <c r="AY90" i="97"/>
  <c r="BI89" i="97"/>
  <c r="AY89" i="97"/>
  <c r="BI88" i="97"/>
  <c r="AY88" i="97"/>
  <c r="BI87" i="97"/>
  <c r="AY87" i="97"/>
  <c r="BI86" i="97"/>
  <c r="AY86" i="97"/>
  <c r="BI85" i="97"/>
  <c r="AY85" i="97"/>
  <c r="BI84" i="97"/>
  <c r="AY84" i="97"/>
  <c r="BI83" i="97"/>
  <c r="AY83" i="97"/>
  <c r="BI82" i="97"/>
  <c r="AY82" i="97"/>
  <c r="BI81" i="97"/>
  <c r="AY81" i="97"/>
  <c r="BI80" i="97"/>
  <c r="AY80" i="97"/>
  <c r="BI79" i="97"/>
  <c r="AY79" i="97"/>
  <c r="BI78" i="97"/>
  <c r="AY78" i="97"/>
  <c r="BI77" i="97"/>
  <c r="AY77" i="97"/>
  <c r="BI76" i="97"/>
  <c r="AY76" i="97"/>
  <c r="BI75" i="97"/>
  <c r="AY75" i="97"/>
  <c r="BI74" i="97"/>
  <c r="AY74" i="97"/>
  <c r="BI73" i="97"/>
  <c r="AY73" i="97"/>
  <c r="BI72" i="97"/>
  <c r="AY72" i="97"/>
  <c r="BI71" i="97"/>
  <c r="AY71" i="97"/>
  <c r="BI70" i="97"/>
  <c r="AY70" i="97"/>
  <c r="BI69" i="97"/>
  <c r="AY69" i="97"/>
  <c r="BI68" i="97"/>
  <c r="AY68" i="97"/>
  <c r="BI67" i="97"/>
  <c r="AY67" i="97"/>
  <c r="BI66" i="97"/>
  <c r="AY66" i="97"/>
  <c r="BI65" i="97"/>
  <c r="AY65" i="97"/>
  <c r="BI64" i="97"/>
  <c r="AY64" i="97"/>
  <c r="BI63" i="97"/>
  <c r="AY63" i="97"/>
  <c r="BI62" i="97"/>
  <c r="AY62" i="97"/>
  <c r="BI61" i="97"/>
  <c r="AY61" i="97"/>
  <c r="BI60" i="97"/>
  <c r="AY60" i="97"/>
  <c r="BI59" i="97"/>
  <c r="AY59" i="97"/>
  <c r="BI58" i="97"/>
  <c r="AY58" i="97"/>
  <c r="BI57" i="97"/>
  <c r="AY57" i="97"/>
  <c r="BI56" i="97"/>
  <c r="AY56" i="97"/>
  <c r="BI55" i="97"/>
  <c r="AY55" i="97"/>
  <c r="BI54" i="97"/>
  <c r="AY54" i="97"/>
  <c r="BI53" i="97"/>
  <c r="AY53" i="97"/>
  <c r="BI52" i="97"/>
  <c r="AY52" i="97"/>
  <c r="BI51" i="97"/>
  <c r="AY51" i="97"/>
  <c r="BI50" i="97"/>
  <c r="AY50" i="97"/>
  <c r="BI49" i="97"/>
  <c r="AY49" i="97"/>
  <c r="BI48" i="97"/>
  <c r="AY48" i="97"/>
  <c r="BI47" i="97"/>
  <c r="AY47" i="97"/>
  <c r="BI46" i="97"/>
  <c r="AY46" i="97"/>
  <c r="BI45" i="97"/>
  <c r="AY45" i="97"/>
  <c r="BI44" i="97"/>
  <c r="AY44" i="97"/>
  <c r="BI43" i="97"/>
  <c r="AY43" i="97"/>
  <c r="BI42" i="97"/>
  <c r="AY42" i="97"/>
  <c r="BI41" i="97"/>
  <c r="AY41" i="97"/>
  <c r="BI40" i="97"/>
  <c r="AY40" i="97"/>
  <c r="BI39" i="97"/>
  <c r="AY39" i="97"/>
  <c r="BI38" i="97"/>
  <c r="AY38" i="97"/>
  <c r="BI37" i="97"/>
  <c r="AY37" i="97"/>
  <c r="BI36" i="97"/>
  <c r="AY36" i="97"/>
  <c r="BI35" i="97"/>
  <c r="AY35" i="97"/>
  <c r="BI34" i="97"/>
  <c r="AY34" i="97"/>
  <c r="BI33" i="97"/>
  <c r="AY33" i="97"/>
  <c r="BI32" i="97"/>
  <c r="AY32" i="97"/>
  <c r="BI31" i="97"/>
  <c r="AY31" i="97"/>
  <c r="BI30" i="97"/>
  <c r="AY30" i="97"/>
  <c r="BI29" i="97"/>
  <c r="AY29" i="97"/>
  <c r="BI28" i="97"/>
  <c r="AY28" i="97"/>
  <c r="BI27" i="97"/>
  <c r="AY27" i="97"/>
  <c r="BI26" i="97"/>
  <c r="AY26" i="97"/>
  <c r="BI25" i="97"/>
  <c r="AY25" i="97"/>
  <c r="BI24" i="97"/>
  <c r="AY24" i="97"/>
  <c r="BI23" i="97"/>
  <c r="AY23" i="97"/>
  <c r="BI22" i="97"/>
  <c r="AY22" i="97"/>
  <c r="BI21" i="97"/>
  <c r="AY21" i="97"/>
  <c r="BI20" i="97"/>
  <c r="AY20" i="97"/>
  <c r="BI19" i="97"/>
  <c r="AY19" i="97"/>
  <c r="BI18" i="97"/>
  <c r="AY18" i="97"/>
  <c r="BI17" i="97"/>
  <c r="AY17" i="97"/>
  <c r="BI16" i="97"/>
  <c r="AY16" i="97"/>
  <c r="BI15" i="97"/>
  <c r="AY15" i="97"/>
  <c r="BI14" i="97"/>
  <c r="AY14" i="97"/>
  <c r="BI13" i="97"/>
  <c r="AY13" i="97"/>
  <c r="BI12" i="97"/>
  <c r="AY12" i="97"/>
  <c r="BI11" i="97"/>
  <c r="AY11" i="97"/>
  <c r="BI10" i="97"/>
  <c r="AY10" i="97"/>
  <c r="BI9" i="97"/>
  <c r="AY9" i="97"/>
  <c r="BI8" i="97"/>
  <c r="AY8" i="97"/>
  <c r="BI7" i="97"/>
  <c r="AY7" i="97"/>
  <c r="BI6" i="97"/>
  <c r="AY6" i="97"/>
  <c r="BI5" i="97"/>
  <c r="AY5" i="97"/>
  <c r="BF4" i="97"/>
  <c r="BE4" i="97"/>
  <c r="BI4" i="97" s="1"/>
  <c r="BD4" i="97"/>
  <c r="BC4" i="97"/>
  <c r="BB4" i="97"/>
  <c r="BA4" i="97"/>
  <c r="AZ4" i="97"/>
  <c r="AX4" i="97"/>
  <c r="AW4" i="97"/>
  <c r="AY4" i="97" s="1"/>
  <c r="AV4" i="97"/>
  <c r="AU4" i="97"/>
  <c r="AT4" i="97"/>
  <c r="BI3" i="97"/>
  <c r="AY3" i="97"/>
  <c r="K5" i="93" l="1"/>
  <c r="I6" i="93"/>
  <c r="I9" i="93"/>
  <c r="P11" i="93"/>
  <c r="O11" i="93"/>
  <c r="P10" i="93"/>
  <c r="O10" i="93"/>
  <c r="P9" i="93"/>
  <c r="O9" i="93"/>
  <c r="O8" i="93"/>
  <c r="P8" i="93"/>
  <c r="P7" i="93"/>
  <c r="O7" i="93"/>
  <c r="P6" i="93"/>
  <c r="O6" i="93"/>
  <c r="P5" i="93"/>
  <c r="O5" i="93"/>
  <c r="J11" i="93"/>
  <c r="I11" i="93"/>
  <c r="M11" i="93" s="1"/>
  <c r="J10" i="93"/>
  <c r="I10" i="93"/>
  <c r="J9" i="93"/>
  <c r="J8" i="93"/>
  <c r="I8" i="93"/>
  <c r="J7" i="93"/>
  <c r="I7" i="93"/>
  <c r="J6" i="93"/>
  <c r="J5" i="93"/>
  <c r="I5" i="93"/>
  <c r="AQ11" i="93"/>
  <c r="AP11" i="93"/>
  <c r="AO11" i="93"/>
  <c r="AN11" i="93"/>
  <c r="AM11" i="93"/>
  <c r="AL11" i="93"/>
  <c r="R11" i="93"/>
  <c r="Q11" i="93"/>
  <c r="N11" i="93"/>
  <c r="L11" i="93"/>
  <c r="K11" i="93"/>
  <c r="H11" i="93"/>
  <c r="E55" i="69" l="1"/>
  <c r="D55" i="69"/>
  <c r="H5" i="83"/>
  <c r="I5" i="83" s="1"/>
  <c r="F5" i="83"/>
  <c r="G5" i="83" s="1"/>
  <c r="D5" i="83"/>
  <c r="E5" i="83" s="1"/>
  <c r="H6" i="83"/>
  <c r="I6" i="83" s="1"/>
  <c r="F6" i="83"/>
  <c r="G6" i="83" s="1"/>
  <c r="D6" i="83"/>
  <c r="E6" i="83" s="1"/>
  <c r="H7" i="83"/>
  <c r="I7" i="83" s="1"/>
  <c r="F7" i="83"/>
  <c r="G7" i="83" s="1"/>
  <c r="D7" i="83"/>
  <c r="E7" i="83" s="1"/>
  <c r="H8" i="83"/>
  <c r="I8" i="83" s="1"/>
  <c r="F8" i="83"/>
  <c r="G8" i="83" s="1"/>
  <c r="D8" i="83"/>
  <c r="E8" i="83" s="1"/>
  <c r="H9" i="83"/>
  <c r="I9" i="83" s="1"/>
  <c r="F9" i="83"/>
  <c r="G9" i="83" s="1"/>
  <c r="D9" i="83"/>
  <c r="E9" i="83" s="1"/>
  <c r="H5" i="82"/>
  <c r="I5" i="82" s="1"/>
  <c r="F5" i="82"/>
  <c r="G5" i="82" s="1"/>
  <c r="D5" i="82"/>
  <c r="E5" i="82" s="1"/>
  <c r="H6" i="82"/>
  <c r="I6" i="82" s="1"/>
  <c r="F6" i="82"/>
  <c r="G6" i="82" s="1"/>
  <c r="D6" i="82"/>
  <c r="E6" i="82" s="1"/>
  <c r="H7" i="82"/>
  <c r="I7" i="82" s="1"/>
  <c r="F7" i="82"/>
  <c r="G7" i="82" s="1"/>
  <c r="D7" i="82"/>
  <c r="E7" i="82" s="1"/>
  <c r="H8" i="82"/>
  <c r="I8" i="82" s="1"/>
  <c r="F8" i="82"/>
  <c r="G8" i="82" s="1"/>
  <c r="D8" i="82"/>
  <c r="E8" i="82" s="1"/>
  <c r="AF6" i="93"/>
  <c r="AJ6" i="93" s="1"/>
  <c r="Z6" i="93"/>
  <c r="AD6" i="93" s="1"/>
  <c r="T6" i="93"/>
  <c r="X6" i="93" s="1"/>
  <c r="K6" i="93"/>
  <c r="AF7" i="93"/>
  <c r="AJ7" i="93" s="1"/>
  <c r="Z7" i="93"/>
  <c r="AD7" i="93" s="1"/>
  <c r="T7" i="93"/>
  <c r="X7" i="93" s="1"/>
  <c r="K7" i="93"/>
  <c r="AF8" i="93"/>
  <c r="AJ8" i="93" s="1"/>
  <c r="Z8" i="93"/>
  <c r="AD8" i="93" s="1"/>
  <c r="T8" i="93"/>
  <c r="X8" i="93" s="1"/>
  <c r="K8" i="93"/>
  <c r="AF9" i="93"/>
  <c r="AJ9" i="93" s="1"/>
  <c r="Z9" i="93"/>
  <c r="AD9" i="93" s="1"/>
  <c r="T9" i="93"/>
  <c r="X9" i="93" s="1"/>
  <c r="K9" i="93"/>
  <c r="H10" i="83" l="1"/>
  <c r="I10" i="83" s="1"/>
  <c r="F10" i="83"/>
  <c r="G10" i="83" s="1"/>
  <c r="D10" i="83"/>
  <c r="E10" i="83" s="1"/>
  <c r="T5" i="93"/>
  <c r="X5" i="93" s="1"/>
  <c r="Z5" i="93"/>
  <c r="AD5" i="93" s="1"/>
  <c r="AF5" i="93"/>
  <c r="AJ5" i="93" s="1"/>
  <c r="K10" i="93"/>
  <c r="T10" i="93"/>
  <c r="X10" i="93" s="1"/>
  <c r="Z10" i="93"/>
  <c r="AD10" i="93" s="1"/>
  <c r="AF10" i="93"/>
  <c r="AJ10" i="93" s="1"/>
  <c r="H25" i="69" l="1"/>
  <c r="E44" i="69" l="1"/>
  <c r="E41" i="69"/>
  <c r="D38" i="69"/>
  <c r="D41" i="69" s="1"/>
  <c r="C38" i="69"/>
  <c r="C41" i="69" s="1"/>
  <c r="F9" i="82" l="1"/>
  <c r="G9" i="82" s="1"/>
  <c r="H9" i="82"/>
  <c r="I9" i="82" s="1"/>
  <c r="D9" i="82"/>
  <c r="E9" i="82" s="1"/>
  <c r="D10" i="82"/>
  <c r="E10" i="82" s="1"/>
  <c r="F10" i="82"/>
  <c r="G10" i="82" s="1"/>
  <c r="H10" i="82"/>
  <c r="I10" i="82" s="1"/>
  <c r="Q63" i="81"/>
  <c r="P63" i="81"/>
  <c r="Q62" i="81"/>
  <c r="P62" i="81"/>
  <c r="M47" i="81"/>
  <c r="Q44" i="81" s="1"/>
  <c r="L47" i="81"/>
  <c r="Q7" i="81"/>
  <c r="P6" i="81"/>
  <c r="Q5" i="81"/>
  <c r="P5" i="81"/>
  <c r="Q8" i="81"/>
  <c r="P8" i="81"/>
  <c r="P44" i="81" l="1"/>
  <c r="P43" i="81"/>
  <c r="P7" i="81"/>
  <c r="Q43" i="81"/>
  <c r="Q6" i="81"/>
  <c r="C56" i="69" l="1"/>
  <c r="C44" i="69"/>
  <c r="D44" i="69"/>
  <c r="E42" i="69"/>
  <c r="D42" i="69"/>
  <c r="C42" i="69"/>
  <c r="D56" i="69" l="1"/>
  <c r="E56" i="69"/>
  <c r="H23" i="69" l="1"/>
  <c r="C30" i="69"/>
  <c r="H29" i="69"/>
  <c r="H30" i="69" s="1"/>
  <c r="G29" i="69"/>
  <c r="G30" i="69" s="1"/>
  <c r="F29" i="69"/>
  <c r="F30" i="69" s="1"/>
  <c r="E29" i="69"/>
  <c r="E30" i="69" s="1"/>
  <c r="D29" i="69"/>
  <c r="D30" i="69" s="1"/>
  <c r="G27" i="69"/>
  <c r="F27" i="69"/>
  <c r="E27" i="69"/>
  <c r="D27" i="69"/>
  <c r="C27" i="69"/>
  <c r="G26" i="69"/>
  <c r="F26" i="69"/>
  <c r="E26" i="69"/>
  <c r="D26" i="69"/>
  <c r="C26" i="69"/>
  <c r="H27" i="69"/>
  <c r="C13" i="69"/>
  <c r="H12" i="69"/>
  <c r="G12" i="69"/>
  <c r="F12" i="69"/>
  <c r="E12" i="69"/>
  <c r="G10" i="69"/>
  <c r="F10" i="69"/>
  <c r="E10" i="69"/>
  <c r="G9" i="69"/>
  <c r="F9" i="69"/>
  <c r="E9" i="69"/>
  <c r="H8" i="69"/>
  <c r="D8" i="69"/>
  <c r="H7" i="69"/>
  <c r="C7" i="69"/>
  <c r="H6" i="69"/>
  <c r="C6" i="69"/>
  <c r="W8" i="93" l="1"/>
  <c r="W9" i="93"/>
  <c r="V6" i="93"/>
  <c r="W7" i="93"/>
  <c r="V8" i="93"/>
  <c r="W6" i="93"/>
  <c r="V9" i="93"/>
  <c r="U9" i="93"/>
  <c r="Y9" i="93" s="1"/>
  <c r="U7" i="93"/>
  <c r="Y7" i="93" s="1"/>
  <c r="V7" i="93"/>
  <c r="H7" i="93"/>
  <c r="L7" i="93" s="1"/>
  <c r="H6" i="93"/>
  <c r="L6" i="93" s="1"/>
  <c r="H9" i="93"/>
  <c r="L9" i="93" s="1"/>
  <c r="H8" i="93"/>
  <c r="L8" i="93" s="1"/>
  <c r="Q8" i="93"/>
  <c r="Q9" i="93"/>
  <c r="Q7" i="93"/>
  <c r="Q6" i="93"/>
  <c r="AA9" i="93"/>
  <c r="AE9" i="93" s="1"/>
  <c r="AC7" i="93"/>
  <c r="AA7" i="93"/>
  <c r="AE7" i="93" s="1"/>
  <c r="AC6" i="93"/>
  <c r="AB6" i="93"/>
  <c r="AB7" i="93"/>
  <c r="AC8" i="93"/>
  <c r="AB8" i="93"/>
  <c r="AC9" i="93"/>
  <c r="AB9" i="93"/>
  <c r="AM9" i="93"/>
  <c r="AQ9" i="93" s="1"/>
  <c r="AN8" i="93"/>
  <c r="AN6" i="93"/>
  <c r="AN9" i="93"/>
  <c r="AN7" i="93"/>
  <c r="AH7" i="93"/>
  <c r="AH8" i="93"/>
  <c r="AI6" i="93"/>
  <c r="AI8" i="93"/>
  <c r="AI9" i="93"/>
  <c r="AH9" i="93"/>
  <c r="AI7" i="93"/>
  <c r="AH6" i="93"/>
  <c r="M6" i="93"/>
  <c r="M9" i="93"/>
  <c r="M8" i="93"/>
  <c r="M7" i="93"/>
  <c r="N7" i="93"/>
  <c r="R7" i="93" s="1"/>
  <c r="N8" i="93"/>
  <c r="R8" i="93" s="1"/>
  <c r="N6" i="93"/>
  <c r="R6" i="93" s="1"/>
  <c r="N9" i="93"/>
  <c r="R9" i="93" s="1"/>
  <c r="AO8" i="93"/>
  <c r="AO9" i="93"/>
  <c r="AO7" i="93"/>
  <c r="AO6" i="93"/>
  <c r="AL6" i="93"/>
  <c r="AP6" i="93" s="1"/>
  <c r="AL9" i="93"/>
  <c r="AP9" i="93" s="1"/>
  <c r="AL7" i="93"/>
  <c r="AP7" i="93" s="1"/>
  <c r="AL8" i="93"/>
  <c r="AP8" i="93" s="1"/>
  <c r="AL5" i="93"/>
  <c r="AP5" i="93" s="1"/>
  <c r="AL10" i="93"/>
  <c r="AP10" i="93" s="1"/>
  <c r="W10" i="93"/>
  <c r="V10" i="93"/>
  <c r="V5" i="93"/>
  <c r="W5" i="93"/>
  <c r="AB5" i="93"/>
  <c r="AB10" i="93"/>
  <c r="AC10" i="93"/>
  <c r="AC5" i="93"/>
  <c r="Q5" i="93"/>
  <c r="Q10" i="93"/>
  <c r="AN10" i="93"/>
  <c r="AN5" i="93"/>
  <c r="AH5" i="93"/>
  <c r="AI5" i="93"/>
  <c r="AH10" i="93"/>
  <c r="AI10" i="93"/>
  <c r="N5" i="93"/>
  <c r="R5" i="93" s="1"/>
  <c r="N10" i="93"/>
  <c r="R10" i="93" s="1"/>
  <c r="AO10" i="93"/>
  <c r="AO5" i="93"/>
  <c r="H10" i="93"/>
  <c r="L10" i="93" s="1"/>
  <c r="H5" i="93"/>
  <c r="L5" i="93" s="1"/>
  <c r="M10" i="93"/>
  <c r="M5" i="93"/>
  <c r="C9" i="69"/>
  <c r="C10" i="69"/>
  <c r="D9" i="69"/>
  <c r="D13" i="69"/>
  <c r="E13" i="69"/>
  <c r="F13" i="69"/>
  <c r="G13" i="69"/>
  <c r="H13" i="69"/>
  <c r="AM7" i="93" s="1"/>
  <c r="AQ7" i="93" s="1"/>
  <c r="H26" i="69"/>
  <c r="H9" i="69"/>
  <c r="H10" i="69"/>
  <c r="D10" i="69"/>
  <c r="S6" i="93" l="1"/>
  <c r="S11" i="93"/>
  <c r="AM6" i="93"/>
  <c r="AQ6" i="93" s="1"/>
  <c r="S7" i="93"/>
  <c r="AM8" i="93"/>
  <c r="AQ8" i="93" s="1"/>
  <c r="AA6" i="93"/>
  <c r="AE6" i="93" s="1"/>
  <c r="U6" i="93"/>
  <c r="Y6" i="93" s="1"/>
  <c r="AG7" i="93"/>
  <c r="AK7" i="93" s="1"/>
  <c r="AG9" i="93"/>
  <c r="AK9" i="93" s="1"/>
  <c r="U8" i="93"/>
  <c r="Y8" i="93" s="1"/>
  <c r="AG8" i="93"/>
  <c r="AK8" i="93" s="1"/>
  <c r="S9" i="93"/>
  <c r="AA8" i="93"/>
  <c r="AE8" i="93" s="1"/>
  <c r="S8" i="93"/>
  <c r="AG6" i="93"/>
  <c r="AK6" i="93" s="1"/>
  <c r="AM5" i="93"/>
  <c r="AQ5" i="93" s="1"/>
  <c r="AM10" i="93"/>
  <c r="AQ10" i="93" s="1"/>
  <c r="S5" i="93"/>
  <c r="S10" i="93"/>
  <c r="AG10" i="93"/>
  <c r="AK10" i="93" s="1"/>
  <c r="AG5" i="93"/>
  <c r="AK5" i="93" s="1"/>
  <c r="U10" i="93"/>
  <c r="Y10" i="93" s="1"/>
  <c r="U5" i="93"/>
  <c r="Y5" i="93" s="1"/>
  <c r="AA5" i="93"/>
  <c r="AE5" i="93" s="1"/>
  <c r="AA10" i="93"/>
  <c r="AE10" i="93" s="1"/>
</calcChain>
</file>

<file path=xl/sharedStrings.xml><?xml version="1.0" encoding="utf-8"?>
<sst xmlns="http://schemas.openxmlformats.org/spreadsheetml/2006/main" count="2117" uniqueCount="675">
  <si>
    <t>AR0037800</t>
  </si>
  <si>
    <t>CLEAN HARBORS EL DORADO LLC</t>
  </si>
  <si>
    <t>71730NVRNM309AM</t>
  </si>
  <si>
    <t>POTW</t>
  </si>
  <si>
    <t>CA0048127</t>
  </si>
  <si>
    <t>LOMPOC WASTEWATER PLANT</t>
  </si>
  <si>
    <t>CA0063509</t>
  </si>
  <si>
    <t>DEFENSE FUEL SUPPORT POINT NORWALK DFSP</t>
  </si>
  <si>
    <t>CA0078891</t>
  </si>
  <si>
    <t>CITY OF RED BLUFF WASTEWATER RECLAMATION PLANT</t>
  </si>
  <si>
    <t>CA0085235</t>
  </si>
  <si>
    <t>CLOVIS SEWAGE TREATMENT AND WATER REUSE FACILITY</t>
  </si>
  <si>
    <t>CA0104523</t>
  </si>
  <si>
    <t>BRAWLEY WASTEWATER TREATMENT PLANT</t>
  </si>
  <si>
    <t>CT0001341</t>
  </si>
  <si>
    <t>PHARMACIA &amp; UPJOHN (FORMER)</t>
  </si>
  <si>
    <t>DE0000612</t>
  </si>
  <si>
    <t>FORMOSA PLASTICS CORPORATION</t>
  </si>
  <si>
    <t>Rock Creek</t>
  </si>
  <si>
    <t>IL0001619</t>
  </si>
  <si>
    <t>STYROLUTION AMERICA LLC</t>
  </si>
  <si>
    <t>60410MBLCHI55AR</t>
  </si>
  <si>
    <t>Des Plaines River</t>
  </si>
  <si>
    <t>IL0002453</t>
  </si>
  <si>
    <t>60421STPNCRURAL</t>
  </si>
  <si>
    <t>IN0002861</t>
  </si>
  <si>
    <t>EVONIK DEGUSSA CORP TIPPECANOE LABORATORIES</t>
  </si>
  <si>
    <t>47905LLLLYLILLY</t>
  </si>
  <si>
    <t>KY0003484</t>
  </si>
  <si>
    <t>WESTLAKE VINYLS INC</t>
  </si>
  <si>
    <t>42029WSTLK2468I</t>
  </si>
  <si>
    <t>KY0003603</t>
  </si>
  <si>
    <t>ARKEMA INC</t>
  </si>
  <si>
    <t>42029PNNWLALTON</t>
  </si>
  <si>
    <t>WESTLAKE VINYLS CO</t>
  </si>
  <si>
    <t>70734BRDNCLOUIS</t>
  </si>
  <si>
    <t>LA0000329</t>
  </si>
  <si>
    <t>70805LLDSGCORNE</t>
  </si>
  <si>
    <t>EAGLE US 2 LLC - LAKE CHARLES COMPLEX</t>
  </si>
  <si>
    <t>70669PPGNDCOLUM</t>
  </si>
  <si>
    <t>70669CNCLKOLDSP</t>
  </si>
  <si>
    <t>LA0004090</t>
  </si>
  <si>
    <t>ETHYL CORPORATION</t>
  </si>
  <si>
    <t>LA0006149</t>
  </si>
  <si>
    <t>FORMOSA PLASTICS LOUISIANA</t>
  </si>
  <si>
    <t>70805FRMSPGULFS</t>
  </si>
  <si>
    <t>LA0006181</t>
  </si>
  <si>
    <t>HONEYWELL INTERNATIONAL INC - GEISMAR COMPLEX</t>
  </si>
  <si>
    <t>70734LLDSGHWY31</t>
  </si>
  <si>
    <t>LA0038245</t>
  </si>
  <si>
    <t>CLEAN HARBORS BATON ROUGE LLC</t>
  </si>
  <si>
    <t>70807SFTYK13351</t>
  </si>
  <si>
    <t>LA0056171</t>
  </si>
  <si>
    <t>70723CCDNTHIGHW</t>
  </si>
  <si>
    <t>LA0056600</t>
  </si>
  <si>
    <t>HARVEY TERMINAL</t>
  </si>
  <si>
    <t>LA0069850</t>
  </si>
  <si>
    <t>INDORAMA VENTURES OLEFINS, LLC</t>
  </si>
  <si>
    <t>70663CCDNTHIGHW</t>
  </si>
  <si>
    <t>LA0113531</t>
  </si>
  <si>
    <t>ALBEMARLE CORP - PROCESS DEVELOPMENT CENTER</t>
  </si>
  <si>
    <t>70805LBMRLGULFS</t>
  </si>
  <si>
    <t>MI0001911</t>
  </si>
  <si>
    <t>GENERAL MOTORS PROVING GROUND</t>
  </si>
  <si>
    <t>MO0001716</t>
  </si>
  <si>
    <t>63461MRCNCSTATE</t>
  </si>
  <si>
    <t>MO0002526</t>
  </si>
  <si>
    <t>BAYER CROPSCIENCE KANSAS CITY</t>
  </si>
  <si>
    <t>64120MBYCR8400H</t>
  </si>
  <si>
    <t>NC0085928</t>
  </si>
  <si>
    <t>TRUETZSCHLER REMEDIATION SITE</t>
  </si>
  <si>
    <t>NJ0004952</t>
  </si>
  <si>
    <t>DSM NUTRITIONAL PRODUCTS, INC.</t>
  </si>
  <si>
    <t>07823HFFMN206RO</t>
  </si>
  <si>
    <t>NJ0005100</t>
  </si>
  <si>
    <t>08023DPNTCRT130,0802WCHMRS67CAN</t>
  </si>
  <si>
    <t>NJ0005185</t>
  </si>
  <si>
    <t>SOLVAY SOLEXIS INC</t>
  </si>
  <si>
    <t>08086PNNWLCROWN</t>
  </si>
  <si>
    <t>NJ0005584</t>
  </si>
  <si>
    <t>B P  OIL  INC</t>
  </si>
  <si>
    <t>NJ0024686</t>
  </si>
  <si>
    <t>NV0022888</t>
  </si>
  <si>
    <t>VENETIAN HOTEL AND CASINO</t>
  </si>
  <si>
    <t>NY0001643</t>
  </si>
  <si>
    <t>14652STMNK1669L</t>
  </si>
  <si>
    <t>Genesee River</t>
  </si>
  <si>
    <t>NY0003336</t>
  </si>
  <si>
    <t>OCCIDENTAL CHEMICAL CORP NIAGARA PLANT</t>
  </si>
  <si>
    <t>14302CCDNT4700B</t>
  </si>
  <si>
    <t>NY0267724</t>
  </si>
  <si>
    <t>EXXONMOBIL GREENPOINT REMEDIATION PROJEC</t>
  </si>
  <si>
    <t>OH0007196</t>
  </si>
  <si>
    <t>44622NNCMP875HA</t>
  </si>
  <si>
    <t>Carpenters Bayou</t>
  </si>
  <si>
    <t>Mustang Bayou</t>
  </si>
  <si>
    <t>TX0005592</t>
  </si>
  <si>
    <t>77301TXCCHJEFFE</t>
  </si>
  <si>
    <t>TX0007072</t>
  </si>
  <si>
    <t>77012STFFR8615M</t>
  </si>
  <si>
    <t>TX0007412</t>
  </si>
  <si>
    <t>OXY VINYLS LP - DEER PARK PVC</t>
  </si>
  <si>
    <t>77536CCDNT1000T</t>
  </si>
  <si>
    <t>TX0007421</t>
  </si>
  <si>
    <t>TOTAL PETROCHEMICALS &amp; REFINING USA INC</t>
  </si>
  <si>
    <t>77536FNLND1818B</t>
  </si>
  <si>
    <t>TX0052591</t>
  </si>
  <si>
    <t>WASHBURN TUNNEL FACILITY</t>
  </si>
  <si>
    <t>TX0072168</t>
  </si>
  <si>
    <t>KEESHAN AND BOST CHEMICAL CO., INC.</t>
  </si>
  <si>
    <t>77578KSHNB22102</t>
  </si>
  <si>
    <t>TX0085979</t>
  </si>
  <si>
    <t>77015JHNNH16717</t>
  </si>
  <si>
    <t>TX0113484</t>
  </si>
  <si>
    <t>PHILIPS ELECTRONICS PLANT</t>
  </si>
  <si>
    <t>TX0119792</t>
  </si>
  <si>
    <t>77571QNTMC1515M</t>
  </si>
  <si>
    <t>WV0000086</t>
  </si>
  <si>
    <t>WV0000094</t>
  </si>
  <si>
    <t>MPM SILICONES LLC</t>
  </si>
  <si>
    <t>26175NNCRBSTATE</t>
  </si>
  <si>
    <t>WV0000787</t>
  </si>
  <si>
    <t>CYTEC INDUSTRIES, INC.,  WILLOW ISLAND</t>
  </si>
  <si>
    <t>26190MRCNCSTRT2</t>
  </si>
  <si>
    <t>26180DPNTWDUPON,2618WCHMRS848DU</t>
  </si>
  <si>
    <t>WV0002496</t>
  </si>
  <si>
    <t>ICL-IP AMERICA INC</t>
  </si>
  <si>
    <t>25515KZCHMSTATE</t>
  </si>
  <si>
    <t>WV0004740</t>
  </si>
  <si>
    <t>26505WSTMR1000D,26505WSTMRMORGA</t>
  </si>
  <si>
    <t>WV0051560</t>
  </si>
  <si>
    <t>ELEMENTIS SPECIALTIES, INC.</t>
  </si>
  <si>
    <t>WV0116181</t>
  </si>
  <si>
    <t>SOLUTIA NITRO SITE</t>
  </si>
  <si>
    <t>LA0108936</t>
  </si>
  <si>
    <t>AMCOL HEALTH &amp; BEAUTY SOLUTIONS INC</t>
  </si>
  <si>
    <t>LA0115606</t>
  </si>
  <si>
    <t>GREATER BATON ROUGE PORTCOMMISSION</t>
  </si>
  <si>
    <t>MI0000868</t>
  </si>
  <si>
    <t>DOW CHEMICAL-MIDLAND</t>
  </si>
  <si>
    <t>PA0043672</t>
  </si>
  <si>
    <t>GENERAL DYNAMICS ORDNANCE TACTICAL SYSTEMS</t>
  </si>
  <si>
    <t>17356GNRLD200EH</t>
  </si>
  <si>
    <t>Fishing Creek</t>
  </si>
  <si>
    <t>GA0000426</t>
  </si>
  <si>
    <t>3072WSTYRN1468P</t>
  </si>
  <si>
    <t>ID</t>
  </si>
  <si>
    <t>IDG911006</t>
  </si>
  <si>
    <t>BOISE STATE UNIVERSITY</t>
  </si>
  <si>
    <t>KY0111309</t>
  </si>
  <si>
    <t>STAMPEDE OIL SANDS INC</t>
  </si>
  <si>
    <t>MD0071790</t>
  </si>
  <si>
    <t>AR0052477</t>
  </si>
  <si>
    <t>4811 LLC DBA INGRAN LLC</t>
  </si>
  <si>
    <t>KY0024082</t>
  </si>
  <si>
    <t>BARBOURVILLE STP</t>
  </si>
  <si>
    <t>LA0124583</t>
  </si>
  <si>
    <t>VOPAK TERMINAL WESTWEGO INC</t>
  </si>
  <si>
    <t>MA0003905</t>
  </si>
  <si>
    <t>GE AVIATION</t>
  </si>
  <si>
    <t>01910GNRLL1000W</t>
  </si>
  <si>
    <t>MO0135763</t>
  </si>
  <si>
    <t>WYETH HOLDINGS, LLC</t>
  </si>
  <si>
    <t>KS0100846</t>
  </si>
  <si>
    <t>KY0022373</t>
  </si>
  <si>
    <t>ASHLAND WASTEWATER TREATMENT PLANT</t>
  </si>
  <si>
    <t>NJG156922</t>
  </si>
  <si>
    <t>PENN COLOR INC FORMER MANVILLE, NJ FACILITY</t>
  </si>
  <si>
    <t>Royce Brook</t>
  </si>
  <si>
    <t>NJG218316</t>
  </si>
  <si>
    <t>FORMER REXON FACILITY AKA ENJEMS MILLWORKS</t>
  </si>
  <si>
    <t>CA0085332</t>
  </si>
  <si>
    <t>MALAKOFF DIGGINS STATE PARK</t>
  </si>
  <si>
    <t>KY0103357</t>
  </si>
  <si>
    <t>RICHMOND SILVER CREEK STP</t>
  </si>
  <si>
    <t>MO0002411</t>
  </si>
  <si>
    <t>EATON HYDRAULICS LLC</t>
  </si>
  <si>
    <t>NC0089656</t>
  </si>
  <si>
    <t>Irwin Creek</t>
  </si>
  <si>
    <t>NJ0000019</t>
  </si>
  <si>
    <t>LINDEN LOGISTICS CENTER</t>
  </si>
  <si>
    <t>NJ0027481</t>
  </si>
  <si>
    <t>BEVERLY SEWERAGE AUTHORITY</t>
  </si>
  <si>
    <t>NJ0002348</t>
  </si>
  <si>
    <t>MERCK SHARP &amp; DOHME CORP</t>
  </si>
  <si>
    <t>07065MRCKC126EL</t>
  </si>
  <si>
    <t>DMR</t>
  </si>
  <si>
    <t>Manufacturing</t>
  </si>
  <si>
    <t>Processing as a Reactant</t>
  </si>
  <si>
    <t>Processing into formulation, mixture, or reaction product</t>
  </si>
  <si>
    <t>Unknown</t>
  </si>
  <si>
    <t>Remediation</t>
  </si>
  <si>
    <t>Dilution Factor</t>
  </si>
  <si>
    <t>NPDES</t>
  </si>
  <si>
    <t>A</t>
  </si>
  <si>
    <t>R</t>
  </si>
  <si>
    <t>NA</t>
  </si>
  <si>
    <t>AR0000680</t>
  </si>
  <si>
    <t>IA0000205</t>
  </si>
  <si>
    <t>STEPAN CO</t>
  </si>
  <si>
    <t>WV0022047</t>
  </si>
  <si>
    <t>WV0111082</t>
  </si>
  <si>
    <t>WV0111091</t>
  </si>
  <si>
    <t>Summary</t>
  </si>
  <si>
    <t>Tabs</t>
  </si>
  <si>
    <t>Details</t>
  </si>
  <si>
    <t>Max Release DW Calcs</t>
  </si>
  <si>
    <t xml:space="preserve">Drinking water exposure and risk estimates </t>
  </si>
  <si>
    <t>Max Release Oral Calc</t>
  </si>
  <si>
    <t>Oral ingestion via swimming exposure and risk estimates</t>
  </si>
  <si>
    <t>Max Release Dermal Calc</t>
  </si>
  <si>
    <t xml:space="preserve">Dermal absorption via swimming exposure and risk estimates </t>
  </si>
  <si>
    <t>Exposure Inputs</t>
  </si>
  <si>
    <t>Exposure Equations</t>
  </si>
  <si>
    <t xml:space="preserve">Equations used for exposure estimates </t>
  </si>
  <si>
    <t>OES</t>
  </si>
  <si>
    <t>BCF</t>
  </si>
  <si>
    <t>Plant Flow</t>
  </si>
  <si>
    <t>7Q10 Flow</t>
  </si>
  <si>
    <t>AAR MOBILITY SYSTEMS</t>
  </si>
  <si>
    <t>HERITAGE THERMAL SERVICES</t>
  </si>
  <si>
    <t>Below Acute or Chronic Benchmark</t>
  </si>
  <si>
    <t>Release Drinking Water Calculations</t>
  </si>
  <si>
    <t>Rolling Average (OES Operating Days) Release Scenario</t>
  </si>
  <si>
    <t>Adult (≥21 yrs)</t>
  </si>
  <si>
    <t>Infant (birth to &lt;1 year)</t>
  </si>
  <si>
    <t>Youth (16-20)</t>
  </si>
  <si>
    <t>Youth (11-15 yrs)</t>
  </si>
  <si>
    <t>Child (6-10 yrs)</t>
  </si>
  <si>
    <t>Toddler (1-5 yrs)</t>
  </si>
  <si>
    <t>Exposure</t>
  </si>
  <si>
    <t>Risk Characterization</t>
  </si>
  <si>
    <t>Scenario</t>
  </si>
  <si>
    <t>Release Estimate (kg/day)</t>
  </si>
  <si>
    <t>30Q5 Flow (m³/d)</t>
  </si>
  <si>
    <t>Harmonic Mean Flow (m³/d)</t>
  </si>
  <si>
    <t>Removal Efficiency Applied (%)</t>
  </si>
  <si>
    <t>Harmonic Mean Concentration (ug/L)</t>
  </si>
  <si>
    <t>30Q5 Concentration (ug/L)</t>
  </si>
  <si>
    <r>
      <t>ADR</t>
    </r>
    <r>
      <rPr>
        <b/>
        <vertAlign val="subscript"/>
        <sz val="10"/>
        <color theme="1"/>
        <rFont val="Calibri"/>
        <family val="2"/>
        <scheme val="minor"/>
      </rPr>
      <t>POT</t>
    </r>
    <r>
      <rPr>
        <b/>
        <sz val="10"/>
        <color theme="1"/>
        <rFont val="Calibri"/>
        <family val="2"/>
        <scheme val="minor"/>
      </rPr>
      <t xml:space="preserve"> (mg/kg-day)</t>
    </r>
  </si>
  <si>
    <t>ADD (mg/kg-day)</t>
  </si>
  <si>
    <r>
      <t>LADD</t>
    </r>
    <r>
      <rPr>
        <b/>
        <vertAlign val="subscript"/>
        <sz val="10"/>
        <color theme="1"/>
        <rFont val="Calibri"/>
        <family val="2"/>
        <scheme val="minor"/>
      </rPr>
      <t>POT</t>
    </r>
    <r>
      <rPr>
        <b/>
        <sz val="10"/>
        <color theme="1"/>
        <rFont val="Calibri"/>
        <family val="2"/>
        <scheme val="minor"/>
      </rPr>
      <t xml:space="preserve"> (mg/kg-day)</t>
    </r>
  </si>
  <si>
    <r>
      <t>LADC</t>
    </r>
    <r>
      <rPr>
        <b/>
        <vertAlign val="subscript"/>
        <sz val="10"/>
        <color theme="1"/>
        <rFont val="Calibri"/>
        <family val="2"/>
        <scheme val="minor"/>
      </rPr>
      <t>POT</t>
    </r>
    <r>
      <rPr>
        <b/>
        <sz val="10"/>
        <color theme="1"/>
        <rFont val="Calibri"/>
        <family val="2"/>
        <scheme val="minor"/>
      </rPr>
      <t xml:space="preserve"> (mg/L)</t>
    </r>
  </si>
  <si>
    <t>Acute MOE (ADR)</t>
  </si>
  <si>
    <t>Chronic MOE (ADD)</t>
  </si>
  <si>
    <t>Manufacturing (Westlake Vinyls, KY0003484)</t>
  </si>
  <si>
    <t>Processing as a Reactant (Chemours WV0073202)</t>
  </si>
  <si>
    <t>POTW (Lompoc Wastewater Plant, CA0048127)</t>
  </si>
  <si>
    <t>Processing Aid (DSM Nutritional Products, Inc. NJ0004952)</t>
  </si>
  <si>
    <t>High from Monitoring Pre-treatment</t>
  </si>
  <si>
    <t>---</t>
  </si>
  <si>
    <t>GREAT LAKES CHEMICAL - SOUTH PLANT (AR0000680) - highest conc from Bryan's downstream dilution</t>
  </si>
  <si>
    <t>Max Release Oral Incidental Ingestion Calculations</t>
  </si>
  <si>
    <t>Manufacturing (Eagle US 2 LLC)</t>
  </si>
  <si>
    <t>Processing as a Reactant (Optima Chemical Group LLC)</t>
  </si>
  <si>
    <t>POTW (Clovis Sewage Treatment and Water Reuse Facility)</t>
  </si>
  <si>
    <t>Processing Aid (Evonik Degussa Corp Tippecanoe Labs)</t>
  </si>
  <si>
    <t>Drinking Water Exposure Inputs</t>
  </si>
  <si>
    <t>Input</t>
  </si>
  <si>
    <t>Description (units)</t>
  </si>
  <si>
    <t>Adult
(≥ 21 yrs)</t>
  </si>
  <si>
    <t>Infant (birth-&lt; 1 year)</t>
  </si>
  <si>
    <t>Youth
(16-20 yrs)</t>
  </si>
  <si>
    <t>Youth
(11-15 yrs)</t>
  </si>
  <si>
    <t>Child
(6-10 yrs)</t>
  </si>
  <si>
    <t>Toddler
(1-5 yrs)</t>
  </si>
  <si>
    <t>Notes</t>
  </si>
  <si>
    <t>HERO Link</t>
  </si>
  <si>
    <r>
      <t>IR</t>
    </r>
    <r>
      <rPr>
        <vertAlign val="subscript"/>
        <sz val="11"/>
        <color theme="1"/>
        <rFont val="Calibri"/>
        <family val="2"/>
        <scheme val="minor"/>
      </rPr>
      <t>dw-a</t>
    </r>
  </si>
  <si>
    <t>Drinking water intake rate (L/day) - acute</t>
  </si>
  <si>
    <t>U.S. EPA Exposure Factors Handbook Chapter 3 (2019), Table 3-17, Consumer 95th percentile; weighted averages for adults (years 21 to 49 and 50+), for toddlers (years 1-2, 2-3, and 3-&lt;6).</t>
  </si>
  <si>
    <t>U.S. EPA, 2019, 7267482</t>
  </si>
  <si>
    <r>
      <t>IR</t>
    </r>
    <r>
      <rPr>
        <vertAlign val="subscript"/>
        <sz val="11"/>
        <color theme="1"/>
        <rFont val="Calibri"/>
        <family val="2"/>
        <scheme val="minor"/>
      </rPr>
      <t>dw-c</t>
    </r>
  </si>
  <si>
    <t>Drinking water intake rate (L/day) - chronic</t>
  </si>
  <si>
    <t xml:space="preserve">U.S. EPA Exposure Factors Handbook Chapter 3 (2019), Table 3-9 per capita mean values; weighted averages for adults (years 21 to 49 and 50+), for toddlers (years 1-2, 2-3, and 3-&lt;6). </t>
  </si>
  <si>
    <t>BW</t>
  </si>
  <si>
    <t>Body weight (kg)</t>
  </si>
  <si>
    <t xml:space="preserve">U.S. EPA Exposure Factors Handbook Chapter 8 (2011), Table 8-1 mean body weight; weighted average for infants (months 0-&lt;1, 1-&lt;3, 3-&lt;6, 6-12), for toddlers (years 1-2, 2-3, and 3-&lt;6). </t>
  </si>
  <si>
    <t>U.S. EPA, 2011, 7485096</t>
  </si>
  <si>
    <r>
      <t>DW/BW</t>
    </r>
    <r>
      <rPr>
        <vertAlign val="subscript"/>
        <sz val="11"/>
        <color theme="1"/>
        <rFont val="Calibri"/>
        <family val="2"/>
        <scheme val="minor"/>
      </rPr>
      <t>acute</t>
    </r>
  </si>
  <si>
    <t>Drinking water intake/body weight (L/kg-day)</t>
  </si>
  <si>
    <t>Calculation: ingestion rate / body weight</t>
  </si>
  <si>
    <r>
      <t>DW/BW</t>
    </r>
    <r>
      <rPr>
        <vertAlign val="subscript"/>
        <sz val="11"/>
        <color theme="1"/>
        <rFont val="Calibri"/>
        <family val="2"/>
        <scheme val="minor"/>
      </rPr>
      <t>chronic</t>
    </r>
  </si>
  <si>
    <t>AT</t>
  </si>
  <si>
    <r>
      <t>Averaging time (days for ADR</t>
    </r>
    <r>
      <rPr>
        <vertAlign val="subscript"/>
        <sz val="11"/>
        <color theme="1"/>
        <rFont val="Calibri"/>
        <family val="2"/>
        <scheme val="minor"/>
      </rPr>
      <t>POT</t>
    </r>
    <r>
      <rPr>
        <sz val="11"/>
        <color theme="1"/>
        <rFont val="Calibri"/>
        <family val="2"/>
        <scheme val="minor"/>
      </rPr>
      <t>)</t>
    </r>
  </si>
  <si>
    <t>All 1 day, per E-FAST methodology (2014)</t>
  </si>
  <si>
    <t>U.S. EPA, 2014, 4565445</t>
  </si>
  <si>
    <t>ED</t>
  </si>
  <si>
    <r>
      <t>Exposure duration (years for ADD, LADC</t>
    </r>
    <r>
      <rPr>
        <vertAlign val="subscript"/>
        <sz val="11"/>
        <color theme="1"/>
        <rFont val="Calibri"/>
        <family val="2"/>
        <scheme val="minor"/>
      </rPr>
      <t>POT</t>
    </r>
    <r>
      <rPr>
        <sz val="11"/>
        <color theme="1"/>
        <rFont val="Calibri"/>
        <family val="2"/>
        <scheme val="minor"/>
      </rPr>
      <t xml:space="preserve"> and LADD</t>
    </r>
    <r>
      <rPr>
        <vertAlign val="subscript"/>
        <sz val="11"/>
        <color theme="1"/>
        <rFont val="Calibri"/>
        <family val="2"/>
        <scheme val="minor"/>
      </rPr>
      <t>POT</t>
    </r>
    <r>
      <rPr>
        <sz val="11"/>
        <color theme="1"/>
        <rFont val="Calibri"/>
        <family val="2"/>
        <scheme val="minor"/>
      </rPr>
      <t xml:space="preserve">) </t>
    </r>
  </si>
  <si>
    <t xml:space="preserve">Number of years in age group, up to the 95th percentile residential occupancy period. U.S. EPA Exposure Factors Handbook Chapter 16 (2011), Table 16-5. </t>
  </si>
  <si>
    <t>Averaging time (years for ADD)</t>
  </si>
  <si>
    <r>
      <t>Averaging time (years for LADD</t>
    </r>
    <r>
      <rPr>
        <vertAlign val="subscript"/>
        <sz val="11"/>
        <color theme="1"/>
        <rFont val="Calibri"/>
        <family val="2"/>
        <scheme val="minor"/>
      </rPr>
      <t>POT</t>
    </r>
    <r>
      <rPr>
        <sz val="11"/>
        <color theme="1"/>
        <rFont val="Calibri"/>
        <family val="2"/>
        <scheme val="minor"/>
      </rPr>
      <t xml:space="preserve"> and LADC</t>
    </r>
    <r>
      <rPr>
        <vertAlign val="subscript"/>
        <sz val="11"/>
        <color theme="1"/>
        <rFont val="Calibri"/>
        <family val="2"/>
        <scheme val="minor"/>
      </rPr>
      <t>POT</t>
    </r>
    <r>
      <rPr>
        <sz val="11"/>
        <color theme="1"/>
        <rFont val="Calibri"/>
        <family val="2"/>
        <scheme val="minor"/>
      </rPr>
      <t xml:space="preserve">) </t>
    </r>
  </si>
  <si>
    <t xml:space="preserve">U.S. EPA Exposure Factors Handbook Chapter 18 (2011), Table 18-1. </t>
  </si>
  <si>
    <t>CF1</t>
  </si>
  <si>
    <t>Conversion factor (mg/µg)</t>
  </si>
  <si>
    <t>CF2</t>
  </si>
  <si>
    <t>Conversion factor (days/year)</t>
  </si>
  <si>
    <t>DWT</t>
  </si>
  <si>
    <t>Drinking water treatment removal (%)</t>
  </si>
  <si>
    <t>RD</t>
  </si>
  <si>
    <t>Release Days (350)</t>
  </si>
  <si>
    <t>Fish Ingestion Exposure Inputs - EFAST</t>
  </si>
  <si>
    <t>Fish ingestion rate (g/day) - acute</t>
  </si>
  <si>
    <t>Cited to 2011 EFH table 10-7</t>
  </si>
  <si>
    <t>Fish ingestion rate (g/day) - chronic</t>
  </si>
  <si>
    <t>Adult value cited to 2011 EFH table 10-31; no chronic data provided for other ages
(Yellow cells: tried scaling adult value by body weight ratio as first approximation. Scaling by acute ingestion rate ratio appears to give lower estimates.)</t>
  </si>
  <si>
    <t>EFAST considers 'small child 3-5 years' and 'infant 1-2 years' rather than toddler; results is the same when they're averaged as the fenceline inputs</t>
  </si>
  <si>
    <r>
      <t>IR/BW</t>
    </r>
    <r>
      <rPr>
        <vertAlign val="subscript"/>
        <sz val="11"/>
        <color theme="1"/>
        <rFont val="Calibri"/>
        <family val="2"/>
        <scheme val="minor"/>
      </rPr>
      <t>acute</t>
    </r>
  </si>
  <si>
    <t>Fish intake/body weight (L/kg-day)</t>
  </si>
  <si>
    <r>
      <t>IR/BW</t>
    </r>
    <r>
      <rPr>
        <vertAlign val="subscript"/>
        <sz val="11"/>
        <color theme="1"/>
        <rFont val="Calibri"/>
        <family val="2"/>
        <scheme val="minor"/>
      </rPr>
      <t>chronic</t>
    </r>
  </si>
  <si>
    <t>Bioconcentration Factor</t>
  </si>
  <si>
    <t>Inputs for Incidental Oral Ingestion Exposure Calculations</t>
  </si>
  <si>
    <r>
      <t>IR</t>
    </r>
    <r>
      <rPr>
        <vertAlign val="subscript"/>
        <sz val="11"/>
        <color theme="1"/>
        <rFont val="Calibri"/>
        <family val="2"/>
        <scheme val="minor"/>
      </rPr>
      <t>inc</t>
    </r>
  </si>
  <si>
    <t>Ingestion rate (L/hr)</t>
  </si>
  <si>
    <t xml:space="preserve">U.S. EPA Exposure Factors Handbook Chapter 3 (2019), Table 3-7, Upper percentile ingestion while swimming. </t>
  </si>
  <si>
    <t xml:space="preserve">U.S. EPA Exposure Factors Handbook Chapter 8 (2011), Table 8-1 mean body weight. </t>
  </si>
  <si>
    <t>ET</t>
  </si>
  <si>
    <t>Exposure time (hrs/day)</t>
  </si>
  <si>
    <t>High-end default short-term duration from U.S. EPA Swimmer Exposure Assessment Model (SWIMODEL), 2015; based on competitive swimmers in the age class.</t>
  </si>
  <si>
    <t>U.S. EPA, 2015, 6811897</t>
  </si>
  <si>
    <r>
      <t>IR</t>
    </r>
    <r>
      <rPr>
        <vertAlign val="subscript"/>
        <sz val="11"/>
        <color theme="1"/>
        <rFont val="Calibri"/>
        <family val="2"/>
        <scheme val="minor"/>
      </rPr>
      <t>inc-daily</t>
    </r>
  </si>
  <si>
    <t>Incidental daily ingestion rate (L/day)</t>
  </si>
  <si>
    <t>Calculation: ingestion rate * exposure time</t>
  </si>
  <si>
    <t xml:space="preserve"> </t>
  </si>
  <si>
    <t>IR/BW</t>
  </si>
  <si>
    <t>Weighted incidental daily ingestion rate (L/kg-day)</t>
  </si>
  <si>
    <t>Exposure duration (years for ADD)</t>
  </si>
  <si>
    <t>Inputs for Incidental Dermal Exposure Calculations</t>
  </si>
  <si>
    <t>SA</t>
  </si>
  <si>
    <r>
      <t>Skin surface area exposed (cm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</si>
  <si>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 xml:space="preserve">U.S. EPA Swimmer Exposure Assessment Model (SWIMODEL), 2015. </t>
  </si>
  <si>
    <t xml:space="preserve">"Absorption Rate" </t>
  </si>
  <si>
    <t>Calculated using dermal ADD formula without surface water concentration (SWC)</t>
  </si>
  <si>
    <t>High-end default short-term duration from U.S. EPA Swimmer Exposure Assessment Model (SWIMODEL), 2015.</t>
  </si>
  <si>
    <t>Number of years in age group, up to the 95th percentile residential occupancy period. U.S. EPA Exposure Factors Handbook Chapter 16 (2011), Table 16-5.</t>
  </si>
  <si>
    <t>Kp</t>
  </si>
  <si>
    <t>Permeability coefficient (cm/hr)</t>
  </si>
  <si>
    <t>Modeled from CEM</t>
  </si>
  <si>
    <t>Schenk, 2018, 4940676</t>
  </si>
  <si>
    <r>
      <t>Conversion factor (L/cm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</si>
  <si>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CF3</t>
  </si>
  <si>
    <t>Risk Calculation and Characterization Inputs</t>
  </si>
  <si>
    <t>Relevant Estimate</t>
  </si>
  <si>
    <t>Organ System</t>
  </si>
  <si>
    <t>Endpoint</t>
  </si>
  <si>
    <t>Gen Pop HED (mg/kg)</t>
  </si>
  <si>
    <t>Benchmark</t>
  </si>
  <si>
    <t>Acute Oral</t>
  </si>
  <si>
    <t>Renal</t>
  </si>
  <si>
    <t>Increased kidney weight</t>
  </si>
  <si>
    <t>If margin of exposure (MOE) &lt; benchmark, cells containing those values will be shaded</t>
  </si>
  <si>
    <t>Chronic</t>
  </si>
  <si>
    <t>Neurological</t>
  </si>
  <si>
    <t>Immune suppression</t>
  </si>
  <si>
    <t>Cancer (per unit)</t>
  </si>
  <si>
    <t>Hepatocellular carcinoma in male mice</t>
  </si>
  <si>
    <t>If cancer risk &gt; benchmark, cells containing those values will be shaded</t>
  </si>
  <si>
    <t>Acute Dermal</t>
  </si>
  <si>
    <t>Dermal (based on oral data)</t>
  </si>
  <si>
    <t>Cancer</t>
  </si>
  <si>
    <t>Oral Slope Factor</t>
  </si>
  <si>
    <t>Ecological Inputs</t>
  </si>
  <si>
    <t>COC 1</t>
  </si>
  <si>
    <t>COC 2</t>
  </si>
  <si>
    <t>COC 3</t>
  </si>
  <si>
    <t>COC</t>
  </si>
  <si>
    <t>µg/L</t>
  </si>
  <si>
    <t>Concentration of concern</t>
  </si>
  <si>
    <t>Drinking Water</t>
  </si>
  <si>
    <t>Drinking Water Exposure - Example Calculations</t>
  </si>
  <si>
    <t>Release Activity:</t>
  </si>
  <si>
    <t>Days of Release:</t>
  </si>
  <si>
    <t>Age</t>
  </si>
  <si>
    <t>Adult</t>
  </si>
  <si>
    <t>Infant</t>
  </si>
  <si>
    <t>Value</t>
  </si>
  <si>
    <t>Unit</t>
  </si>
  <si>
    <t>ADR=</t>
  </si>
  <si>
    <t>30Q5 Concentration</t>
  </si>
  <si>
    <t>ADD=</t>
  </si>
  <si>
    <t>Harmonic Mean Concentration</t>
  </si>
  <si>
    <t>LADD=</t>
  </si>
  <si>
    <t>%</t>
  </si>
  <si>
    <t>LADC=</t>
  </si>
  <si>
    <t>Intake Rate, acute</t>
  </si>
  <si>
    <t>L/day</t>
  </si>
  <si>
    <t>Intake Rate, chronic</t>
  </si>
  <si>
    <t>Release Days: ADR</t>
  </si>
  <si>
    <t>day</t>
  </si>
  <si>
    <t>Release Days: ADD, LADD, LADC</t>
  </si>
  <si>
    <t>days/yr</t>
  </si>
  <si>
    <t>Exposure Duration: ADD, LADD, and LADC</t>
  </si>
  <si>
    <t>years</t>
  </si>
  <si>
    <t>Averaging Time: ADR</t>
  </si>
  <si>
    <t>Averaging Time: ADD</t>
  </si>
  <si>
    <t>Averaging Time: LADD and LADC</t>
  </si>
  <si>
    <r>
      <t>ADR</t>
    </r>
    <r>
      <rPr>
        <vertAlign val="subscript"/>
        <sz val="11"/>
        <color theme="1"/>
        <rFont val="Times New Roman"/>
        <family val="1"/>
      </rPr>
      <t>POT</t>
    </r>
  </si>
  <si>
    <t>=</t>
  </si>
  <si>
    <t>Potential Acute Dose Rate (mg/kg/day)</t>
  </si>
  <si>
    <t>Body Weight</t>
  </si>
  <si>
    <t>kg</t>
  </si>
  <si>
    <r>
      <t>ADD</t>
    </r>
    <r>
      <rPr>
        <vertAlign val="subscript"/>
        <sz val="11"/>
        <color theme="1"/>
        <rFont val="Times New Roman"/>
        <family val="1"/>
      </rPr>
      <t>POT</t>
    </r>
  </si>
  <si>
    <t>Potential Average Daily Dose (mg/kg/day)</t>
  </si>
  <si>
    <t>Conversion Factor 1</t>
  </si>
  <si>
    <t>mg/µg</t>
  </si>
  <si>
    <r>
      <t>LADD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 xml:space="preserve"> </t>
    </r>
  </si>
  <si>
    <t>Potential Lifetime Average Daily Dose (mg/kg/day)</t>
  </si>
  <si>
    <t>Conversion Factor 2</t>
  </si>
  <si>
    <t>days/year</t>
  </si>
  <si>
    <r>
      <t>LADC</t>
    </r>
    <r>
      <rPr>
        <vertAlign val="subscript"/>
        <sz val="11"/>
        <color theme="1"/>
        <rFont val="Times New Roman"/>
        <family val="1"/>
      </rPr>
      <t>POT</t>
    </r>
  </si>
  <si>
    <t>Potential Lifetime Average Daily Concentration in drinking water (mg/L)</t>
  </si>
  <si>
    <t>SWC</t>
  </si>
  <si>
    <t>Surface water concentration (ppb or µg/L; 30Q5 conc for ADR, harmonic mean for ADD, LADD, LADC)</t>
  </si>
  <si>
    <t xml:space="preserve">Removal during drinking water treatment (%) </t>
  </si>
  <si>
    <r>
      <t>IR</t>
    </r>
    <r>
      <rPr>
        <vertAlign val="subscript"/>
        <sz val="11"/>
        <color theme="1"/>
        <rFont val="Times New Roman"/>
        <family val="1"/>
      </rPr>
      <t>dw</t>
    </r>
  </si>
  <si>
    <t>Drinking water intake rate (L/day)</t>
  </si>
  <si>
    <r>
      <t>Release days (days/yr for ADD, LADD and LADC</t>
    </r>
    <r>
      <rPr>
        <vertAlign val="subscript"/>
        <sz val="11"/>
        <color theme="1"/>
        <rFont val="Times New Roman"/>
        <family val="1"/>
      </rPr>
      <t xml:space="preserve">; </t>
    </r>
    <r>
      <rPr>
        <sz val="11"/>
        <color theme="1"/>
        <rFont val="Times New Roman"/>
        <family val="1"/>
      </rPr>
      <t>1 day for ADR)</t>
    </r>
  </si>
  <si>
    <t>Exposure duration (years for ADD, LADD and LADC; 1 day for ADR)</t>
  </si>
  <si>
    <t>Conversion factor (1.0E-03 mg/µg)</t>
  </si>
  <si>
    <t>Conversion factor (365 days/year)</t>
  </si>
  <si>
    <r>
      <t>The harmonic mean streamflow concentration is used to calculate the LADD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 xml:space="preserve"> and LADC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>. The 30Q5 streamflow concentration is used to calculate the ADR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>. This is consistent with EPA’s OW guidance (U.S. EPA, 1991). The mean (central tendency) drinking water intake rate is used to calculate LADD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 xml:space="preserve"> and the high-end drinking water intake rate is used to calculate ADR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>.</t>
    </r>
  </si>
  <si>
    <t>Incidental Oral Ingestion</t>
  </si>
  <si>
    <t>Incidental Oral Ingestion Exposure - Example Calculations</t>
  </si>
  <si>
    <t>Youth 11 to 15</t>
  </si>
  <si>
    <t>ADR</t>
  </si>
  <si>
    <t>Acute Dose Rate (mg/kg/day)</t>
  </si>
  <si>
    <t>Ingestion Rate</t>
  </si>
  <si>
    <t>L/hr</t>
  </si>
  <si>
    <t>ADD</t>
  </si>
  <si>
    <t>Average Daily Dose (mg/kg/day)</t>
  </si>
  <si>
    <t>Exposure Time</t>
  </si>
  <si>
    <t>hr</t>
  </si>
  <si>
    <t>Surface water concentration (ppb or µg/L)</t>
  </si>
  <si>
    <t>Daily Ingestion Rate</t>
  </si>
  <si>
    <t>IR</t>
  </si>
  <si>
    <t>Daily ingestion rate (L/day)</t>
  </si>
  <si>
    <t>Release Days: ADD</t>
  </si>
  <si>
    <t>Release days (days/yr)</t>
  </si>
  <si>
    <t>Exposure Duration: ADD</t>
  </si>
  <si>
    <t>Exposure duration (years)</t>
  </si>
  <si>
    <t>Averaging time (years)</t>
  </si>
  <si>
    <t>Incidental Dermal</t>
  </si>
  <si>
    <t>Incidental Dermal Exposure - Example Calculations</t>
  </si>
  <si>
    <t>Permeability Coefficient</t>
  </si>
  <si>
    <t>cm/hr</t>
  </si>
  <si>
    <t>Skin Surface Area</t>
  </si>
  <si>
    <r>
      <t>cm</t>
    </r>
    <r>
      <rPr>
        <vertAlign val="superscript"/>
        <sz val="11"/>
        <color theme="1"/>
        <rFont val="Times New Roman"/>
        <family val="1"/>
      </rPr>
      <t>2</t>
    </r>
  </si>
  <si>
    <t>Chemical concentration in water (µg/L)</t>
  </si>
  <si>
    <r>
      <t>Skin surface area exposed (cm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</t>
    </r>
  </si>
  <si>
    <r>
      <t>L/cm</t>
    </r>
    <r>
      <rPr>
        <vertAlign val="superscript"/>
        <sz val="11"/>
        <color theme="1"/>
        <rFont val="Times New Roman"/>
        <family val="1"/>
      </rPr>
      <t>3</t>
    </r>
  </si>
  <si>
    <t>Conversion Factor 3</t>
  </si>
  <si>
    <r>
      <t>Conversion factor (1.0E-03 L/cm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</si>
  <si>
    <t>Releasing Facility Details</t>
  </si>
  <si>
    <t>Receiving Waterbody Lookup Information</t>
  </si>
  <si>
    <t>Raw Flow Data</t>
  </si>
  <si>
    <t>Calculated Flow Values</t>
  </si>
  <si>
    <t>1-Day Release</t>
  </si>
  <si>
    <t>21-day Release</t>
  </si>
  <si>
    <t>30-day Release</t>
  </si>
  <si>
    <t>250-Day Release</t>
  </si>
  <si>
    <t>Reporting.Year</t>
  </si>
  <si>
    <t>Form.Type</t>
  </si>
  <si>
    <t>Facility.Name</t>
  </si>
  <si>
    <t>Facility.Latitude</t>
  </si>
  <si>
    <t>Facility.Longitude</t>
  </si>
  <si>
    <t>TRI.Facility.ID</t>
  </si>
  <si>
    <t>FRS.ID</t>
  </si>
  <si>
    <t>Annual Water Release (kg)</t>
  </si>
  <si>
    <t>ReachCode</t>
  </si>
  <si>
    <t>NPDES1</t>
  </si>
  <si>
    <t>NPDES2</t>
  </si>
  <si>
    <t>NPDES3</t>
  </si>
  <si>
    <t>DataYr</t>
  </si>
  <si>
    <t>FacilityDesignFlow</t>
  </si>
  <si>
    <t>ActualAvgFacilityFlow</t>
  </si>
  <si>
    <t>AvgFacilityFlow</t>
  </si>
  <si>
    <t>From</t>
  </si>
  <si>
    <t>PlantFlowMGD</t>
  </si>
  <si>
    <t>PlantFlowCFS</t>
  </si>
  <si>
    <t>COMID</t>
  </si>
  <si>
    <t>GNIS_NAME</t>
  </si>
  <si>
    <t>StreamOrde</t>
  </si>
  <si>
    <t>QE_MA</t>
  </si>
  <si>
    <t>QE_01</t>
  </si>
  <si>
    <t>QE_02</t>
  </si>
  <si>
    <t>QE_03</t>
  </si>
  <si>
    <t>QE_04</t>
  </si>
  <si>
    <t>QE_05</t>
  </si>
  <si>
    <t>QE_06</t>
  </si>
  <si>
    <t>QE_07</t>
  </si>
  <si>
    <t>QE_08</t>
  </si>
  <si>
    <t>QE_09</t>
  </si>
  <si>
    <t>QE_10</t>
  </si>
  <si>
    <t>QE_11</t>
  </si>
  <si>
    <t>QE_12</t>
  </si>
  <si>
    <t>MinMonth</t>
  </si>
  <si>
    <t>PlantFlowMLD</t>
  </si>
  <si>
    <t>Pick30Q5mld</t>
  </si>
  <si>
    <t>Note30Q5</t>
  </si>
  <si>
    <t>PickHMmld</t>
  </si>
  <si>
    <t>NoteHM</t>
  </si>
  <si>
    <t>Pick7Q10mld</t>
  </si>
  <si>
    <t>Note7Q10</t>
  </si>
  <si>
    <t>DailyUG</t>
  </si>
  <si>
    <t>ConcAMugl</t>
  </si>
  <si>
    <t>ConcHMugl</t>
  </si>
  <si>
    <t>Conc7Q10ugl</t>
  </si>
  <si>
    <t>Conc30Q5ugl</t>
  </si>
  <si>
    <t>Conc7Q10ugl_21</t>
  </si>
  <si>
    <t>ConcAMugl_30</t>
  </si>
  <si>
    <t>ConcHMugl_30</t>
  </si>
  <si>
    <t>Conc7Q10ugl_30</t>
  </si>
  <si>
    <t>Conc30Q5ugl_30</t>
  </si>
  <si>
    <t>ConcAMugl_250</t>
  </si>
  <si>
    <t>Conc HM ugl_250</t>
  </si>
  <si>
    <t>Conc7Q10ugl_250</t>
  </si>
  <si>
    <t>Note</t>
  </si>
  <si>
    <t>Diluted HM Conc 250-day ug/L</t>
  </si>
  <si>
    <t>Conc HM ugl_350  (1day HM/350)</t>
  </si>
  <si>
    <t>Diluted HM Conc 350-day ug/L</t>
  </si>
  <si>
    <t>Conc HM ugl_365  (1day HM/365)</t>
  </si>
  <si>
    <t>Diluted HM Conc 365-day ug/L</t>
  </si>
  <si>
    <t>LAJ660151</t>
  </si>
  <si>
    <t>LAR10L189</t>
  </si>
  <si>
    <t>LAR10K999</t>
  </si>
  <si>
    <t>30Q5 Flow</t>
  </si>
  <si>
    <t>HM Flow</t>
  </si>
  <si>
    <t>Hurricane</t>
  </si>
  <si>
    <t>No Hurricane</t>
  </si>
  <si>
    <t>Tennessee River</t>
  </si>
  <si>
    <t>Buffalo Bayou</t>
  </si>
  <si>
    <t>Waste Handling, Disposal and Treatment</t>
  </si>
  <si>
    <t>ARR001968</t>
  </si>
  <si>
    <t>ARR154540</t>
  </si>
  <si>
    <t>CENTRAL PLAINS CEMENT CO</t>
  </si>
  <si>
    <t>74116BLCRC2609N</t>
  </si>
  <si>
    <t>OK0040789</t>
  </si>
  <si>
    <t>GREAT LAKES CHEMICAL - SOUTH PLANT</t>
  </si>
  <si>
    <t>71730GRTLKRT7BO</t>
  </si>
  <si>
    <t>ARU500236</t>
  </si>
  <si>
    <t>ARR00C441</t>
  </si>
  <si>
    <t>OPTIMA CHEMICAL GROUP LLC</t>
  </si>
  <si>
    <t>31533FFNCC1415W</t>
  </si>
  <si>
    <t>GAIS00500</t>
  </si>
  <si>
    <t>Tittabawassee River</t>
  </si>
  <si>
    <t>Monte Sano Bayou</t>
  </si>
  <si>
    <t>TXR05P253</t>
  </si>
  <si>
    <t>Patrick Bayou</t>
  </si>
  <si>
    <t>LAR10H655</t>
  </si>
  <si>
    <t>LAR10H613</t>
  </si>
  <si>
    <t>LAR10H787</t>
  </si>
  <si>
    <t>HONEYWELL INTERNATIONAL INC-BATON ROUGE PLANT</t>
  </si>
  <si>
    <t>LAR10E873</t>
  </si>
  <si>
    <t>Mississippi River</t>
  </si>
  <si>
    <t>EQUISTAR CHEMICALS-LAPORTE</t>
  </si>
  <si>
    <t>TXR15900L</t>
  </si>
  <si>
    <t>TXR05N516</t>
  </si>
  <si>
    <t>MONSANTO CO</t>
  </si>
  <si>
    <t>52761MNSNTWIGGI</t>
  </si>
  <si>
    <t>HOUSTON PLANT</t>
  </si>
  <si>
    <t>Brays Bayou</t>
  </si>
  <si>
    <t>PHILLIPS 66 CO - LAKE CHARLES REFINERY</t>
  </si>
  <si>
    <t>LA0104469</t>
  </si>
  <si>
    <t>LAR05N651</t>
  </si>
  <si>
    <t>LAR05P540</t>
  </si>
  <si>
    <t>Calcasieu River</t>
  </si>
  <si>
    <t>CHEMOURS-CHAMBERS WORKS</t>
  </si>
  <si>
    <t>NJG283975</t>
  </si>
  <si>
    <t>NJG188620</t>
  </si>
  <si>
    <t>CHEMOURS WASHINGTON WORKS</t>
  </si>
  <si>
    <t>WVR100209</t>
  </si>
  <si>
    <t>WV0073202</t>
  </si>
  <si>
    <t>WV0116581</t>
  </si>
  <si>
    <t>Neal Run</t>
  </si>
  <si>
    <t>KYL024082</t>
  </si>
  <si>
    <t>Cumberland River</t>
  </si>
  <si>
    <t>NJG240044</t>
  </si>
  <si>
    <t>Rahway River</t>
  </si>
  <si>
    <t>NJ0146315</t>
  </si>
  <si>
    <t>MORA23125</t>
  </si>
  <si>
    <t>MOG685016</t>
  </si>
  <si>
    <t>Blue River</t>
  </si>
  <si>
    <t>LAR10K456</t>
  </si>
  <si>
    <t>ALTIVIA SERVICES, LLC</t>
  </si>
  <si>
    <t>Kanawha River</t>
  </si>
  <si>
    <t>GLOUCESTER CNTY UTIL AUTH STP</t>
  </si>
  <si>
    <t>NJL024686</t>
  </si>
  <si>
    <t>Mantua Creek</t>
  </si>
  <si>
    <t>KYL022373</t>
  </si>
  <si>
    <t>KYL103357</t>
  </si>
  <si>
    <t>Silver Creek</t>
  </si>
  <si>
    <t>NJG116629</t>
  </si>
  <si>
    <t>Delaware River</t>
  </si>
  <si>
    <t>ARIZONA CHEMICAL COMPANY, LLC</t>
  </si>
  <si>
    <t>Sugar Creek</t>
  </si>
  <si>
    <t>BASF CORP - HANNIBAL SITE</t>
  </si>
  <si>
    <t>MO0099236</t>
  </si>
  <si>
    <t>Santa Ynez River</t>
  </si>
  <si>
    <t>Sugarcamp Run</t>
  </si>
  <si>
    <t>HERITAGE AT SILVER SPRING TITLEHOLDER, LLC</t>
  </si>
  <si>
    <t>MD0070076</t>
  </si>
  <si>
    <t>LAR05M551</t>
  </si>
  <si>
    <t>HUNTSMAN PETROCHEMICAL LLC - CONROE PLANT</t>
  </si>
  <si>
    <t>TXR1510LO</t>
  </si>
  <si>
    <t>TXR05FC17</t>
  </si>
  <si>
    <t>West Fork Crystal Creek</t>
  </si>
  <si>
    <t>Cedar Creek</t>
  </si>
  <si>
    <t>Niagara River</t>
  </si>
  <si>
    <t>Ohio River</t>
  </si>
  <si>
    <t>OCCIDENTAL CHEMICAL HOLDING CORP</t>
  </si>
  <si>
    <t>LAG750905</t>
  </si>
  <si>
    <t>LAR10O053</t>
  </si>
  <si>
    <t>Saugus River</t>
  </si>
  <si>
    <t>Industrial and commercial non-aerosol cleaning/degreasing</t>
  </si>
  <si>
    <t>LAG480775</t>
  </si>
  <si>
    <t>LAU000212</t>
  </si>
  <si>
    <t>Bayou d'Inde</t>
  </si>
  <si>
    <t>CTGSI0143</t>
  </si>
  <si>
    <t>Quinnipiac River</t>
  </si>
  <si>
    <t>WVG612106</t>
  </si>
  <si>
    <t>Laboratory Use</t>
  </si>
  <si>
    <t>MIG081192</t>
  </si>
  <si>
    <t>Tucker Bayou</t>
  </si>
  <si>
    <t>Short Creek</t>
  </si>
  <si>
    <t>MONUMENT CHEMICAL HOUSTON</t>
  </si>
  <si>
    <t>INRA11244</t>
  </si>
  <si>
    <t>NJG341649</t>
  </si>
  <si>
    <t>TRINSEO - DALTON, GA</t>
  </si>
  <si>
    <t>GAIS05062</t>
  </si>
  <si>
    <t>Conasauga River</t>
  </si>
  <si>
    <t>DIMENSIONAL PLACE REMEDIATION SITE</t>
  </si>
  <si>
    <t>New River</t>
  </si>
  <si>
    <t>SI GROUP, INC. - SOUTH PLANT</t>
  </si>
  <si>
    <t>Monongahela River</t>
  </si>
  <si>
    <t>KYG840334</t>
  </si>
  <si>
    <t>EASTMAN KODAK - KODAK PARK</t>
  </si>
  <si>
    <t>NYR10L116</t>
  </si>
  <si>
    <t>NYR10L115</t>
  </si>
  <si>
    <t>IDR1000NF</t>
  </si>
  <si>
    <t>IDR1000NG</t>
  </si>
  <si>
    <t>Boise River</t>
  </si>
  <si>
    <t>Flamingo Wash</t>
  </si>
  <si>
    <t>LAR05M140</t>
  </si>
  <si>
    <t>Francois Coulee</t>
  </si>
  <si>
    <t>CHEMICAL WASTE MANAGEMENT, INC.</t>
  </si>
  <si>
    <t>Prairie Creek</t>
  </si>
  <si>
    <t>NCG030556</t>
  </si>
  <si>
    <t>Catawba River</t>
  </si>
  <si>
    <t>CA0059137</t>
  </si>
  <si>
    <t>CAZ415141</t>
  </si>
  <si>
    <t>Passaic River</t>
  </si>
  <si>
    <t>Sacramento River</t>
  </si>
  <si>
    <t>43920VNRLL1250S</t>
  </si>
  <si>
    <t>OH0107298</t>
  </si>
  <si>
    <t>LANXESS CORP</t>
  </si>
  <si>
    <t>29415LBRGH2151K</t>
  </si>
  <si>
    <t>SCR001209</t>
  </si>
  <si>
    <t>SCR006034</t>
  </si>
  <si>
    <t>Ashley River</t>
  </si>
  <si>
    <t>NOURYON SURFACE CHEMISTRY LLC</t>
  </si>
  <si>
    <t>2814WKZNBL485CE</t>
  </si>
  <si>
    <t>NCS000259</t>
  </si>
  <si>
    <t>TEXAS BARGE &amp; BOAT INC</t>
  </si>
  <si>
    <t>77541TXSBR4115E</t>
  </si>
  <si>
    <t>TX0126322</t>
  </si>
  <si>
    <t>CASRN 107-06-2</t>
  </si>
  <si>
    <t>Waste Handling (Clean Harbors El Dorado LLC) (used: Central Plains Cement Co., OK0040789)</t>
  </si>
  <si>
    <t>Waste Handling, Handling, Disposal and Treatment (Incinerator) (Clean Harbors El Dorado LLC)</t>
  </si>
  <si>
    <t>Waste Handling (Clean Harbors El Dorado LLC)</t>
  </si>
  <si>
    <t>Max Release Incidental Dermal Exposure Calculations</t>
  </si>
  <si>
    <t>U.S. EPA, 2021, 7485096</t>
  </si>
  <si>
    <t>This spreadsheet calculates surface water concentrations as a result of water releases for 1,2-dichloroethane</t>
  </si>
  <si>
    <t>List of exposure parameters, health values and sources used in risk calculations</t>
  </si>
  <si>
    <t>Repackaging</t>
  </si>
  <si>
    <t>Drinking Water Exposure Estimates for 1,2-Dichloroethane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</si>
</sst>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"/>
    <numFmt numFmtId="165" formatCode="0.00000"/>
    <numFmt numFmtId="166" formatCode="0.0000"/>
    <numFmt numFmtId="167" formatCode="0.0000E+00"/>
    <numFmt numFmtId="168" formatCode="0.000E+0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9" fillId="0" borderId="10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11" applyNumberFormat="0" applyAlignment="0" applyProtection="0"/>
    <xf numFmtId="0" fontId="14" fillId="8" borderId="12" applyNumberFormat="0" applyAlignment="0" applyProtection="0"/>
    <xf numFmtId="0" fontId="15" fillId="8" borderId="11" applyNumberFormat="0" applyAlignment="0" applyProtection="0"/>
    <xf numFmtId="0" fontId="16" fillId="0" borderId="13" applyNumberFormat="0" applyFill="0" applyAlignment="0" applyProtection="0"/>
    <xf numFmtId="0" fontId="17" fillId="9" borderId="14" applyNumberFormat="0" applyAlignment="0" applyProtection="0"/>
    <xf numFmtId="0" fontId="2" fillId="0" borderId="0" applyNumberFormat="0" applyFill="0" applyBorder="0" applyAlignment="0" applyProtection="0"/>
    <xf numFmtId="0" fontId="5" fillId="10" borderId="15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6" applyNumberFormat="0" applyFill="0" applyAlignment="0" applyProtection="0"/>
    <xf numFmtId="0" fontId="19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8" fillId="0" borderId="0"/>
    <xf numFmtId="43" fontId="5" fillId="0" borderId="0" applyFont="0" applyFill="0" applyBorder="0" applyAlignment="0" applyProtection="0"/>
  </cellStyleXfs>
  <cellXfs count="133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0" fontId="0" fillId="0" borderId="4" xfId="0" applyBorder="1"/>
    <xf numFmtId="2" fontId="0" fillId="0" borderId="0" xfId="0" applyNumberFormat="1"/>
    <xf numFmtId="0" fontId="1" fillId="0" borderId="0" xfId="0" applyFont="1"/>
    <xf numFmtId="1" fontId="0" fillId="0" borderId="4" xfId="0" applyNumberFormat="1" applyBorder="1"/>
    <xf numFmtId="0" fontId="0" fillId="3" borderId="4" xfId="0" applyFill="1" applyBorder="1"/>
    <xf numFmtId="11" fontId="0" fillId="0" borderId="4" xfId="0" applyNumberFormat="1" applyBorder="1"/>
    <xf numFmtId="0" fontId="0" fillId="36" borderId="0" xfId="0" applyFill="1"/>
    <xf numFmtId="11" fontId="0" fillId="0" borderId="0" xfId="0" applyNumberFormat="1"/>
    <xf numFmtId="0" fontId="1" fillId="0" borderId="0" xfId="0" applyFont="1" applyAlignment="1">
      <alignment vertical="center"/>
    </xf>
    <xf numFmtId="0" fontId="0" fillId="0" borderId="5" xfId="0" applyBorder="1" applyAlignment="1">
      <alignment horizontal="left" vertical="top"/>
    </xf>
    <xf numFmtId="164" fontId="0" fillId="0" borderId="5" xfId="0" applyNumberFormat="1" applyBorder="1" applyAlignment="1">
      <alignment horizontal="left" vertical="top"/>
    </xf>
    <xf numFmtId="164" fontId="0" fillId="0" borderId="4" xfId="0" applyNumberFormat="1" applyBorder="1" applyAlignment="1">
      <alignment horizontal="left" vertical="top"/>
    </xf>
    <xf numFmtId="2" fontId="0" fillId="0" borderId="4" xfId="0" applyNumberFormat="1" applyBorder="1" applyAlignment="1">
      <alignment horizontal="left" vertical="top"/>
    </xf>
    <xf numFmtId="166" fontId="0" fillId="0" borderId="4" xfId="0" applyNumberFormat="1" applyBorder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1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1" fillId="37" borderId="6" xfId="0" applyFont="1" applyFill="1" applyBorder="1" applyAlignment="1">
      <alignment horizontal="left" vertical="top" wrapText="1"/>
    </xf>
    <xf numFmtId="166" fontId="0" fillId="0" borderId="0" xfId="0" applyNumberFormat="1" applyAlignment="1">
      <alignment horizontal="left" vertical="top"/>
    </xf>
    <xf numFmtId="0" fontId="3" fillId="0" borderId="4" xfId="1" applyBorder="1" applyAlignment="1">
      <alignment horizontal="left" vertical="top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/>
    </xf>
    <xf numFmtId="11" fontId="22" fillId="0" borderId="0" xfId="0" applyNumberFormat="1" applyFont="1"/>
    <xf numFmtId="164" fontId="22" fillId="0" borderId="0" xfId="0" applyNumberFormat="1" applyFont="1" applyAlignment="1">
      <alignment vertical="center"/>
    </xf>
    <xf numFmtId="168" fontId="22" fillId="0" borderId="0" xfId="0" applyNumberFormat="1" applyFont="1"/>
    <xf numFmtId="2" fontId="22" fillId="0" borderId="0" xfId="0" applyNumberFormat="1" applyFont="1"/>
    <xf numFmtId="0" fontId="22" fillId="0" borderId="0" xfId="0" applyFont="1" applyAlignment="1">
      <alignment vertical="top" wrapText="1"/>
    </xf>
    <xf numFmtId="11" fontId="23" fillId="0" borderId="0" xfId="0" applyNumberFormat="1" applyFont="1"/>
    <xf numFmtId="0" fontId="29" fillId="35" borderId="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9" fillId="36" borderId="4" xfId="0" applyFont="1" applyFill="1" applyBorder="1" applyAlignment="1">
      <alignment horizontal="center" vertical="center" wrapText="1"/>
    </xf>
    <xf numFmtId="11" fontId="30" fillId="0" borderId="0" xfId="0" applyNumberFormat="1" applyFont="1" applyAlignment="1">
      <alignment horizontal="center" vertical="center"/>
    </xf>
    <xf numFmtId="167" fontId="30" fillId="0" borderId="0" xfId="0" applyNumberFormat="1" applyFont="1" applyAlignment="1">
      <alignment horizontal="center" vertical="center"/>
    </xf>
    <xf numFmtId="0" fontId="32" fillId="0" borderId="0" xfId="0" applyFont="1"/>
    <xf numFmtId="0" fontId="4" fillId="0" borderId="4" xfId="0" applyFont="1" applyBorder="1" applyAlignment="1">
      <alignment horizontal="left" vertical="top"/>
    </xf>
    <xf numFmtId="0" fontId="0" fillId="3" borderId="0" xfId="0" applyFill="1" applyAlignment="1">
      <alignment wrapText="1"/>
    </xf>
    <xf numFmtId="0" fontId="22" fillId="41" borderId="0" xfId="0" applyFont="1" applyFill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41" borderId="4" xfId="0" applyFont="1" applyFill="1" applyBorder="1" applyAlignment="1">
      <alignment horizontal="center" vertical="center" wrapText="1"/>
    </xf>
    <xf numFmtId="0" fontId="30" fillId="0" borderId="0" xfId="0" quotePrefix="1" applyFont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2" fontId="33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0" fontId="0" fillId="0" borderId="2" xfId="0" applyBorder="1" applyAlignment="1">
      <alignment horizontal="left" vertical="top" wrapText="1"/>
    </xf>
    <xf numFmtId="0" fontId="3" fillId="0" borderId="4" xfId="1" applyBorder="1" applyAlignment="1">
      <alignment horizontal="left" vertical="top" wrapText="1"/>
    </xf>
    <xf numFmtId="164" fontId="33" fillId="0" borderId="0" xfId="0" applyNumberFormat="1" applyFont="1" applyAlignment="1">
      <alignment horizontal="center" vertical="center"/>
    </xf>
    <xf numFmtId="0" fontId="0" fillId="3" borderId="5" xfId="0" applyFill="1" applyBorder="1" applyAlignment="1">
      <alignment horizontal="left" vertical="top" wrapText="1"/>
    </xf>
    <xf numFmtId="1" fontId="0" fillId="3" borderId="5" xfId="0" applyNumberForma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3" fontId="0" fillId="3" borderId="4" xfId="0" applyNumberFormat="1" applyFill="1" applyBorder="1"/>
    <xf numFmtId="164" fontId="33" fillId="0" borderId="0" xfId="44" applyNumberFormat="1" applyFont="1" applyAlignment="1">
      <alignment horizontal="center" vertical="center"/>
    </xf>
    <xf numFmtId="168" fontId="30" fillId="0" borderId="0" xfId="0" applyNumberFormat="1" applyFont="1" applyAlignment="1">
      <alignment horizontal="center" vertical="center"/>
    </xf>
    <xf numFmtId="0" fontId="29" fillId="42" borderId="0" xfId="0" applyFont="1" applyFill="1" applyAlignment="1">
      <alignment wrapText="1"/>
    </xf>
    <xf numFmtId="165" fontId="33" fillId="0" borderId="0" xfId="0" applyNumberFormat="1" applyFont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11" fontId="33" fillId="0" borderId="0" xfId="0" applyNumberFormat="1" applyFont="1" applyAlignment="1">
      <alignment horizontal="center" vertical="center"/>
    </xf>
    <xf numFmtId="0" fontId="0" fillId="43" borderId="0" xfId="0" applyFill="1"/>
    <xf numFmtId="0" fontId="0" fillId="44" borderId="0" xfId="0" applyFill="1"/>
    <xf numFmtId="0" fontId="0" fillId="45" borderId="0" xfId="0" applyFill="1"/>
    <xf numFmtId="0" fontId="0" fillId="46" borderId="0" xfId="0" applyFill="1"/>
    <xf numFmtId="0" fontId="0" fillId="47" borderId="0" xfId="0" applyFill="1" applyAlignment="1">
      <alignment horizontal="center"/>
    </xf>
    <xf numFmtId="0" fontId="0" fillId="48" borderId="0" xfId="0" applyFill="1"/>
    <xf numFmtId="0" fontId="0" fillId="49" borderId="0" xfId="0" applyFill="1"/>
    <xf numFmtId="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1" fontId="0" fillId="3" borderId="4" xfId="0" applyNumberFormat="1" applyFill="1" applyBorder="1"/>
    <xf numFmtId="2" fontId="0" fillId="3" borderId="4" xfId="0" applyNumberFormat="1" applyFill="1" applyBorder="1"/>
    <xf numFmtId="11" fontId="0" fillId="3" borderId="4" xfId="0" applyNumberFormat="1" applyFill="1" applyBorder="1"/>
    <xf numFmtId="49" fontId="0" fillId="0" borderId="0" xfId="0" applyNumberFormat="1"/>
    <xf numFmtId="11" fontId="34" fillId="0" borderId="0" xfId="0" applyNumberFormat="1" applyFont="1" applyAlignment="1">
      <alignment wrapText="1"/>
    </xf>
    <xf numFmtId="0" fontId="29" fillId="41" borderId="4" xfId="0" applyFont="1" applyFill="1" applyBorder="1" applyAlignment="1">
      <alignment horizontal="center" vertical="center"/>
    </xf>
    <xf numFmtId="0" fontId="29" fillId="4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1" fillId="37" borderId="1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3" borderId="4" xfId="0" applyFill="1" applyBorder="1" applyAlignment="1">
      <alignment horizontal="left" vertical="top"/>
    </xf>
    <xf numFmtId="11" fontId="0" fillId="3" borderId="4" xfId="0" applyNumberFormat="1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1" fillId="37" borderId="17" xfId="0" applyFont="1" applyFill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49" fontId="37" fillId="0" borderId="0" xfId="0" applyNumberFormat="1" applyFont="1" applyAlignment="1">
      <alignment horizontal="left"/>
    </xf>
    <xf numFmtId="0" fontId="35" fillId="0" borderId="0" xfId="0" applyFont="1" applyAlignment="1">
      <alignment horizontal="center" wrapText="1"/>
    </xf>
    <xf numFmtId="0" fontId="0" fillId="0" borderId="0" xfId="0" applyAlignment="1">
      <alignment vertical="top"/>
    </xf>
    <xf numFmtId="0" fontId="29" fillId="41" borderId="4" xfId="0" applyFont="1" applyFill="1" applyBorder="1" applyAlignment="1">
      <alignment horizontal="center" vertical="center"/>
    </xf>
    <xf numFmtId="0" fontId="29" fillId="39" borderId="4" xfId="0" applyFont="1" applyFill="1" applyBorder="1" applyAlignment="1">
      <alignment horizontal="center" vertical="center"/>
    </xf>
    <xf numFmtId="0" fontId="29" fillId="40" borderId="4" xfId="0" applyFont="1" applyFill="1" applyBorder="1" applyAlignment="1">
      <alignment horizontal="center" vertical="center"/>
    </xf>
    <xf numFmtId="0" fontId="29" fillId="41" borderId="4" xfId="0" applyFont="1" applyFill="1" applyBorder="1" applyAlignment="1">
      <alignment horizontal="center" vertical="center" wrapText="1"/>
    </xf>
    <xf numFmtId="0" fontId="29" fillId="38" borderId="4" xfId="0" applyFont="1" applyFill="1" applyBorder="1" applyAlignment="1">
      <alignment horizontal="center" vertical="center"/>
    </xf>
    <xf numFmtId="0" fontId="1" fillId="37" borderId="18" xfId="0" applyFont="1" applyFill="1" applyBorder="1" applyAlignment="1">
      <alignment horizontal="left" vertical="top"/>
    </xf>
    <xf numFmtId="0" fontId="1" fillId="37" borderId="19" xfId="0" applyFont="1" applyFill="1" applyBorder="1" applyAlignment="1">
      <alignment horizontal="left" vertical="top"/>
    </xf>
    <xf numFmtId="0" fontId="1" fillId="37" borderId="20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1" fillId="37" borderId="17" xfId="0" applyFont="1" applyFill="1" applyBorder="1" applyAlignment="1">
      <alignment horizontal="left" vertical="top"/>
    </xf>
    <xf numFmtId="0" fontId="0" fillId="0" borderId="2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1" fontId="0" fillId="0" borderId="4" xfId="0" applyNumberFormat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11" fontId="0" fillId="3" borderId="4" xfId="0" applyNumberFormat="1" applyFill="1" applyBorder="1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" fillId="37" borderId="18" xfId="0" applyFont="1" applyFill="1" applyBorder="1" applyAlignment="1">
      <alignment horizontal="left" vertical="top" wrapText="1"/>
    </xf>
    <xf numFmtId="0" fontId="1" fillId="37" borderId="20" xfId="0" applyFont="1" applyFill="1" applyBorder="1" applyAlignment="1">
      <alignment horizontal="left" vertical="top" wrapText="1"/>
    </xf>
    <xf numFmtId="0" fontId="1" fillId="37" borderId="17" xfId="0" applyFont="1" applyFill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4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7C415B9E-880D-46E9-B232-E144DD2033F6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1"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numFmt numFmtId="169" formatCode="0.0E+00"/>
    </dxf>
    <dxf>
      <numFmt numFmtId="169" formatCode="0.0E+00"/>
    </dxf>
    <dxf>
      <numFmt numFmtId="3" formatCode="#,##0"/>
    </dxf>
    <dxf>
      <font>
        <color rgb="FF9C0006"/>
      </font>
      <fill>
        <patternFill>
          <bgColor rgb="FFFFFF00"/>
        </patternFill>
      </fill>
    </dxf>
    <dxf>
      <numFmt numFmtId="169" formatCode="0.0E+00"/>
    </dxf>
    <dxf>
      <numFmt numFmtId="169" formatCode="0.0E+00"/>
    </dxf>
    <dxf>
      <numFmt numFmtId="3" formatCode="#,##0"/>
    </dxf>
    <dxf>
      <numFmt numFmtId="169" formatCode="0.0E+00"/>
    </dxf>
    <dxf>
      <numFmt numFmtId="169" formatCode="0.0E+00"/>
    </dxf>
    <dxf>
      <numFmt numFmtId="3" formatCode="#,##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numFmt numFmtId="169" formatCode="0.0E+00"/>
    </dxf>
    <dxf>
      <numFmt numFmtId="169" formatCode="0.0E+00"/>
    </dxf>
    <dxf>
      <numFmt numFmtId="3" formatCode="#,##0"/>
    </dxf>
    <dxf>
      <numFmt numFmtId="169" formatCode="0.0E+00"/>
    </dxf>
    <dxf>
      <numFmt numFmtId="169" formatCode="0.0E+00"/>
    </dxf>
    <dxf>
      <numFmt numFmtId="3" formatCode="#,##0"/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2962275</xdr:colOff>
      <xdr:row>4</xdr:row>
      <xdr:rowOff>28575</xdr:rowOff>
    </xdr:from>
    <xdr:to>
      <xdr:col>0</xdr:col>
      <xdr:colOff>4587875</xdr:colOff>
      <xdr:row>8</xdr:row>
      <xdr:rowOff>95250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E8BB43A-2FAA-4ABC-80F6-4D82FB8B92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46" b="25731"/>
        <a:stretch/>
      </xdr:blipFill>
      <xdr:spPr bwMode="auto">
        <a:xfrm>
          <a:off x="2962275" y="1752600"/>
          <a:ext cx="1625600" cy="8286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116553</xdr:colOff>
      <xdr:row>1</xdr:row>
      <xdr:rowOff>107398</xdr:rowOff>
    </xdr:from>
    <xdr:to>
      <xdr:col>5</xdr:col>
      <xdr:colOff>424528</xdr:colOff>
      <xdr:row>4</xdr:row>
      <xdr:rowOff>40723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6F209-1071-443E-9D90-5BCDB61DA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53" y="678898"/>
          <a:ext cx="3206888" cy="479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8</xdr:row>
      <xdr:rowOff>106891</xdr:rowOff>
    </xdr:from>
    <xdr:to>
      <xdr:col>6</xdr:col>
      <xdr:colOff>246590</xdr:colOff>
      <xdr:row>11</xdr:row>
      <xdr:rowOff>27516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3915BB-AB45-47F1-85E5-BAF1ED80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1954741"/>
          <a:ext cx="3829050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12</xdr:row>
      <xdr:rowOff>44450</xdr:rowOff>
    </xdr:from>
    <xdr:to>
      <xdr:col>5</xdr:col>
      <xdr:colOff>341840</xdr:colOff>
      <xdr:row>14</xdr:row>
      <xdr:rowOff>158750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46F743-50FA-4236-9B3E-C05B9C882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2628900"/>
          <a:ext cx="33147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57</xdr:row>
      <xdr:rowOff>171450</xdr:rowOff>
    </xdr:from>
    <xdr:to>
      <xdr:col>4</xdr:col>
      <xdr:colOff>189440</xdr:colOff>
      <xdr:row>59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6B9A4E-85E9-4590-B04F-F8E49C56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10883900"/>
          <a:ext cx="25527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41</xdr:row>
      <xdr:rowOff>104775</xdr:rowOff>
    </xdr:from>
    <xdr:to>
      <xdr:col>3</xdr:col>
      <xdr:colOff>418040</xdr:colOff>
      <xdr:row>43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EFA1B6-96DB-4359-80D1-E35BA71C5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7972425"/>
          <a:ext cx="21717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60</xdr:row>
      <xdr:rowOff>76200</xdr:rowOff>
    </xdr:from>
    <xdr:to>
      <xdr:col>5</xdr:col>
      <xdr:colOff>284690</xdr:colOff>
      <xdr:row>62</xdr:row>
      <xdr:rowOff>28575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17D1060-CE3E-49C2-961A-5D0D1F15C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11322050"/>
          <a:ext cx="3257550" cy="3079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170114</xdr:colOff>
      <xdr:row>38</xdr:row>
      <xdr:rowOff>187601</xdr:rowOff>
    </xdr:from>
    <xdr:to>
      <xdr:col>2</xdr:col>
      <xdr:colOff>420939</xdr:colOff>
      <xdr:row>40</xdr:row>
      <xdr:rowOff>139976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9DFA3BA-F473-478E-93FC-0F6824C7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4" y="13961579"/>
          <a:ext cx="141039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5</xdr:row>
      <xdr:rowOff>26458</xdr:rowOff>
    </xdr:from>
    <xdr:to>
      <xdr:col>6</xdr:col>
      <xdr:colOff>19284</xdr:colOff>
      <xdr:row>7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50F60F5-167E-4A53-9E7A-F4AF1C69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1312333"/>
          <a:ext cx="3601744" cy="44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hero.epa.gov/hero/index.cfm/reference/details/reference_id/7485096" TargetMode="External"/><Relationship Id="rId13" Type="http://schemas.openxmlformats.org/officeDocument/2006/relationships/hyperlink" Target="https://hero.epa.gov/hero/index.cfm/reference/details/reference_id/7485096" TargetMode="External"/><Relationship Id="rId18" Type="http://schemas.openxmlformats.org/officeDocument/2006/relationships/hyperlink" Target="https://hero.epa.gov/hero/index.cfm/reference/details/reference_id/7485096" TargetMode="External"/><Relationship Id="rId3" Type="http://schemas.openxmlformats.org/officeDocument/2006/relationships/hyperlink" Target="https://hero.epa.gov/hero/index.cfm/reference/details/reference_id/7267482" TargetMode="External"/><Relationship Id="rId21" Type="http://schemas.openxmlformats.org/officeDocument/2006/relationships/hyperlink" Target="https://hero.epa.gov/hero/index.cfm/reference/details/reference_id/6811897" TargetMode="External"/><Relationship Id="rId7" Type="http://schemas.openxmlformats.org/officeDocument/2006/relationships/hyperlink" Target="https://hero.epa.gov/hero/index.cfm/reference/details/reference_id/7267482" TargetMode="External"/><Relationship Id="rId12" Type="http://schemas.openxmlformats.org/officeDocument/2006/relationships/hyperlink" Target="https://hero.epa.gov/hero/index.cfm/reference/details/reference_id/7485096" TargetMode="External"/><Relationship Id="rId17" Type="http://schemas.openxmlformats.org/officeDocument/2006/relationships/hyperlink" Target="https://hero.epa.gov/hero/index.cfm/reference/details/reference_id/7485096" TargetMode="External"/><Relationship Id="rId2" Type="http://schemas.openxmlformats.org/officeDocument/2006/relationships/hyperlink" Target="https://hero.epa.gov/hero/index.cfm/reference/details/reference_id/4565445" TargetMode="External"/><Relationship Id="rId16" Type="http://schemas.openxmlformats.org/officeDocument/2006/relationships/hyperlink" Target="https://hero.epa.gov/hero/index.cfm/reference/details/reference_id/7267482" TargetMode="External"/><Relationship Id="rId20" Type="http://schemas.openxmlformats.org/officeDocument/2006/relationships/hyperlink" Target="https://hero.epa.gov/hero/index.cfm/reference/details/reference_id/6811897" TargetMode="External"/><Relationship Id="rId1" Type="http://schemas.openxmlformats.org/officeDocument/2006/relationships/hyperlink" Target="https://hero.epa.gov/hero/index.cfm/reference/details/reference_id/7485096" TargetMode="External"/><Relationship Id="rId6" Type="http://schemas.openxmlformats.org/officeDocument/2006/relationships/hyperlink" Target="https://hero.epa.gov/hero/index.cfm/reference/details/reference_id/7485096" TargetMode="External"/><Relationship Id="rId11" Type="http://schemas.openxmlformats.org/officeDocument/2006/relationships/hyperlink" Target="https://hero.epa.gov/hero/index.cfm/reference/details/reference_id/7485096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https://hero.epa.gov/hero/index.cfm/reference/details/reference_id/7485096" TargetMode="External"/><Relationship Id="rId15" Type="http://schemas.openxmlformats.org/officeDocument/2006/relationships/hyperlink" Target="https://hero.epa.gov/hero/index.cfm/reference/details/reference_id/6811897" TargetMode="External"/><Relationship Id="rId23" Type="http://schemas.openxmlformats.org/officeDocument/2006/relationships/hyperlink" Target="https://hero.epa.gov/hero/index.cfm/reference/details/reference_id/4940676" TargetMode="External"/><Relationship Id="rId10" Type="http://schemas.openxmlformats.org/officeDocument/2006/relationships/hyperlink" Target="https://hero.epa.gov/hero/index.cfm/reference/details/reference_id/7485096" TargetMode="External"/><Relationship Id="rId19" Type="http://schemas.openxmlformats.org/officeDocument/2006/relationships/hyperlink" Target="https://hero.epa.gov/hero/index.cfm/reference/details/reference_id/7485096" TargetMode="External"/><Relationship Id="rId4" Type="http://schemas.openxmlformats.org/officeDocument/2006/relationships/hyperlink" Target="https://hero.epa.gov/hero/index.cfm/reference/details/reference_id/7485096" TargetMode="External"/><Relationship Id="rId9" Type="http://schemas.openxmlformats.org/officeDocument/2006/relationships/hyperlink" Target="https://hero.epa.gov/hero/index.cfm/reference/details/reference_id/4565445" TargetMode="External"/><Relationship Id="rId14" Type="http://schemas.openxmlformats.org/officeDocument/2006/relationships/hyperlink" Target="https://hero.epa.gov/hero/index.cfm/reference/details/reference_id/7485096" TargetMode="External"/><Relationship Id="rId22" Type="http://schemas.openxmlformats.org/officeDocument/2006/relationships/hyperlink" Target="https://hero.epa.gov/hero/index.cfm/reference/details/reference_id/7485096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60CF9-B44D-4B23-96A2-121F4E6A2AE2}">
  <dimension ref="A1:A13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112.7109375" customWidth="1"/>
  </cols>
  <sheetData>
    <row r="1" spans="1:1" ht="20.25" x14ac:dyDescent="0.3">
      <c r="A1" s="98" t="s">
        <v>674</v>
      </c>
    </row>
    <row r="2" spans="1:1" x14ac:dyDescent="0.25">
      <c r="A2" s="94"/>
    </row>
    <row r="3" spans="1:1" ht="18.75" x14ac:dyDescent="0.25">
      <c r="A3" s="95" t="s">
        <v>665</v>
      </c>
    </row>
    <row r="4" spans="1:1" ht="15.75" x14ac:dyDescent="0.25">
      <c r="A4" s="96"/>
    </row>
    <row r="5" spans="1:1" x14ac:dyDescent="0.25">
      <c r="A5" s="94"/>
    </row>
    <row r="6" spans="1:1" x14ac:dyDescent="0.25">
      <c r="A6" s="94"/>
    </row>
    <row r="7" spans="1:1" x14ac:dyDescent="0.25">
      <c r="A7" s="94"/>
    </row>
    <row r="8" spans="1:1" x14ac:dyDescent="0.25">
      <c r="A8" s="94"/>
    </row>
    <row r="9" spans="1:1" x14ac:dyDescent="0.25">
      <c r="A9" s="94"/>
    </row>
    <row r="10" spans="1:1" x14ac:dyDescent="0.25">
      <c r="A10" s="94"/>
    </row>
    <row r="13" spans="1:1" ht="15.75" x14ac:dyDescent="0.25">
      <c r="A13" s="97"/>
    </row>
  </sheetData>
  <sheetProtection sheet="1" objects="1" scenarios="1" formatCells="0" formatColumns="0" formatRows="0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4E57-96D3-4000-A13F-3FB0F9C53BF9}">
  <dimension ref="A1:J9"/>
  <sheetViews>
    <sheetView workbookViewId="0">
      <selection activeCell="A2" sqref="A2"/>
    </sheetView>
  </sheetViews>
  <sheetFormatPr defaultColWidth="8.85546875" defaultRowHeight="15" x14ac:dyDescent="0.25"/>
  <cols>
    <col min="1" max="1" width="40.140625" customWidth="1"/>
    <col min="2" max="2" width="10.42578125" bestFit="1" customWidth="1"/>
  </cols>
  <sheetData>
    <row r="1" spans="1:10" ht="15" customHeight="1" x14ac:dyDescent="0.25">
      <c r="A1" t="s">
        <v>203</v>
      </c>
      <c r="B1" s="99" t="s">
        <v>671</v>
      </c>
      <c r="C1" s="17"/>
      <c r="D1" s="17"/>
      <c r="E1" s="17"/>
      <c r="F1" s="17"/>
      <c r="G1" s="17"/>
      <c r="H1" s="17"/>
      <c r="I1" s="17"/>
      <c r="J1" s="17"/>
    </row>
    <row r="2" spans="1:10" x14ac:dyDescent="0.25">
      <c r="B2" s="17"/>
      <c r="C2" s="17"/>
      <c r="D2" s="17"/>
      <c r="E2" s="17"/>
      <c r="F2" s="17"/>
      <c r="G2" s="17"/>
      <c r="H2" s="17"/>
      <c r="I2" s="17"/>
      <c r="J2" s="17"/>
    </row>
    <row r="4" spans="1:10" x14ac:dyDescent="0.25">
      <c r="A4" t="s">
        <v>204</v>
      </c>
      <c r="B4" t="s">
        <v>205</v>
      </c>
    </row>
    <row r="5" spans="1:10" x14ac:dyDescent="0.25">
      <c r="A5" t="s">
        <v>206</v>
      </c>
      <c r="B5" t="s">
        <v>207</v>
      </c>
    </row>
    <row r="6" spans="1:10" x14ac:dyDescent="0.25">
      <c r="A6" t="s">
        <v>208</v>
      </c>
      <c r="B6" t="s">
        <v>209</v>
      </c>
    </row>
    <row r="7" spans="1:10" x14ac:dyDescent="0.25">
      <c r="A7" t="s">
        <v>210</v>
      </c>
      <c r="B7" t="s">
        <v>211</v>
      </c>
    </row>
    <row r="8" spans="1:10" x14ac:dyDescent="0.25">
      <c r="A8" t="s">
        <v>212</v>
      </c>
      <c r="B8" t="s">
        <v>672</v>
      </c>
    </row>
    <row r="9" spans="1:10" x14ac:dyDescent="0.25">
      <c r="A9" t="s">
        <v>213</v>
      </c>
      <c r="B9" t="s">
        <v>214</v>
      </c>
    </row>
  </sheetData>
  <sheetProtection sheet="1" objects="1" scenarios="1" formatCells="0" formatColumns="0" forma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6ACC0-A0CA-4FE2-9E1A-DA86B9989DAE}">
  <dimension ref="A1:AQ1062"/>
  <sheetViews>
    <sheetView zoomScale="120" zoomScaleNormal="120" workbookViewId="0">
      <pane ySplit="4" topLeftCell="A5" activePane="bottomLeft" state="frozen"/>
      <selection activeCell="C29" sqref="C29:H29"/>
      <selection pane="bottomLeft" activeCell="H5" sqref="H5"/>
    </sheetView>
  </sheetViews>
  <sheetFormatPr defaultColWidth="8.42578125" defaultRowHeight="15" x14ac:dyDescent="0.25"/>
  <cols>
    <col min="1" max="1" width="17.42578125" customWidth="1"/>
    <col min="2" max="5" width="15.42578125" customWidth="1"/>
    <col min="6" max="6" width="16.85546875" customWidth="1"/>
    <col min="7" max="7" width="12.42578125" customWidth="1"/>
    <col min="8" max="8" width="13.140625" customWidth="1"/>
    <col min="9" max="10" width="7.42578125" bestFit="1" customWidth="1"/>
    <col min="11" max="11" width="8" bestFit="1" customWidth="1"/>
    <col min="12" max="12" width="9.140625" bestFit="1" customWidth="1"/>
    <col min="13" max="13" width="11" bestFit="1" customWidth="1"/>
    <col min="14" max="14" width="10.42578125" bestFit="1" customWidth="1"/>
    <col min="15" max="17" width="7.42578125" bestFit="1" customWidth="1"/>
    <col min="18" max="18" width="8.42578125" bestFit="1" customWidth="1"/>
    <col min="19" max="19" width="9.42578125" customWidth="1"/>
    <col min="20" max="20" width="10.42578125" hidden="1" customWidth="1"/>
    <col min="21" max="23" width="7.42578125" hidden="1" customWidth="1"/>
    <col min="24" max="24" width="8.42578125" hidden="1" customWidth="1"/>
    <col min="25" max="25" width="7.42578125" hidden="1" customWidth="1"/>
    <col min="26" max="26" width="10.42578125" hidden="1" customWidth="1"/>
    <col min="27" max="29" width="7.42578125" hidden="1" customWidth="1"/>
    <col min="30" max="30" width="8.42578125" hidden="1" customWidth="1"/>
    <col min="31" max="31" width="7.42578125" hidden="1" customWidth="1"/>
    <col min="32" max="32" width="10.42578125" hidden="1" customWidth="1"/>
    <col min="33" max="35" width="7.42578125" hidden="1" customWidth="1"/>
    <col min="36" max="36" width="8.42578125" hidden="1" customWidth="1"/>
    <col min="37" max="37" width="7.42578125" hidden="1" customWidth="1"/>
    <col min="38" max="38" width="10.42578125" bestFit="1" customWidth="1"/>
    <col min="39" max="41" width="7.42578125" bestFit="1" customWidth="1"/>
    <col min="42" max="42" width="8.42578125" bestFit="1" customWidth="1"/>
    <col min="43" max="43" width="7.42578125" bestFit="1" customWidth="1"/>
  </cols>
  <sheetData>
    <row r="1" spans="1:43" ht="45" x14ac:dyDescent="0.25">
      <c r="A1" s="45" t="s">
        <v>221</v>
      </c>
      <c r="B1" s="2"/>
      <c r="C1" s="2"/>
      <c r="D1" s="2"/>
      <c r="E1" s="2"/>
      <c r="F1" s="43" t="s">
        <v>222</v>
      </c>
    </row>
    <row r="2" spans="1:43" s="39" customFormat="1" ht="27" customHeight="1" x14ac:dyDescent="0.25">
      <c r="A2" s="47"/>
      <c r="B2" s="47"/>
      <c r="C2" s="47"/>
      <c r="D2" s="47"/>
      <c r="E2" s="47"/>
      <c r="F2" s="103" t="s">
        <v>223</v>
      </c>
      <c r="G2" s="103"/>
      <c r="H2" s="104" t="s">
        <v>224</v>
      </c>
      <c r="I2" s="104"/>
      <c r="J2" s="104"/>
      <c r="K2" s="104"/>
      <c r="L2" s="104"/>
      <c r="M2" s="104"/>
      <c r="N2" s="104" t="s">
        <v>225</v>
      </c>
      <c r="O2" s="104"/>
      <c r="P2" s="104"/>
      <c r="Q2" s="104"/>
      <c r="R2" s="104"/>
      <c r="S2" s="104"/>
      <c r="T2" s="101" t="s">
        <v>226</v>
      </c>
      <c r="U2" s="101"/>
      <c r="V2" s="101"/>
      <c r="W2" s="101"/>
      <c r="X2" s="101"/>
      <c r="Y2" s="101"/>
      <c r="Z2" s="101" t="s">
        <v>227</v>
      </c>
      <c r="AA2" s="101"/>
      <c r="AB2" s="101"/>
      <c r="AC2" s="101"/>
      <c r="AD2" s="101"/>
      <c r="AE2" s="101"/>
      <c r="AF2" s="101" t="s">
        <v>228</v>
      </c>
      <c r="AG2" s="101"/>
      <c r="AH2" s="101"/>
      <c r="AI2" s="101"/>
      <c r="AJ2" s="101"/>
      <c r="AK2" s="101"/>
      <c r="AL2" s="101" t="s">
        <v>229</v>
      </c>
      <c r="AM2" s="101"/>
      <c r="AN2" s="101"/>
      <c r="AO2" s="101"/>
      <c r="AP2" s="101"/>
      <c r="AQ2" s="101"/>
    </row>
    <row r="3" spans="1:43" s="39" customFormat="1" ht="20.45" customHeight="1" x14ac:dyDescent="0.25">
      <c r="F3" s="103"/>
      <c r="G3" s="103"/>
      <c r="H3" s="102" t="s">
        <v>230</v>
      </c>
      <c r="I3" s="102"/>
      <c r="J3" s="102"/>
      <c r="K3" s="102"/>
      <c r="L3" s="102" t="s">
        <v>231</v>
      </c>
      <c r="M3" s="102"/>
      <c r="N3" s="102" t="s">
        <v>230</v>
      </c>
      <c r="O3" s="102"/>
      <c r="P3" s="102"/>
      <c r="Q3" s="102"/>
      <c r="R3" s="102" t="s">
        <v>231</v>
      </c>
      <c r="S3" s="102"/>
      <c r="T3" s="100" t="s">
        <v>230</v>
      </c>
      <c r="U3" s="100"/>
      <c r="V3" s="100"/>
      <c r="W3" s="100"/>
      <c r="X3" s="100" t="s">
        <v>231</v>
      </c>
      <c r="Y3" s="100"/>
      <c r="Z3" s="100" t="s">
        <v>230</v>
      </c>
      <c r="AA3" s="100"/>
      <c r="AB3" s="100"/>
      <c r="AC3" s="100"/>
      <c r="AD3" s="100" t="s">
        <v>231</v>
      </c>
      <c r="AE3" s="100"/>
      <c r="AF3" s="100" t="s">
        <v>230</v>
      </c>
      <c r="AG3" s="100"/>
      <c r="AH3" s="100"/>
      <c r="AI3" s="100"/>
      <c r="AJ3" s="100" t="s">
        <v>231</v>
      </c>
      <c r="AK3" s="100"/>
      <c r="AL3" s="100" t="s">
        <v>230</v>
      </c>
      <c r="AM3" s="100"/>
      <c r="AN3" s="100"/>
      <c r="AO3" s="100"/>
      <c r="AP3" s="100" t="s">
        <v>231</v>
      </c>
      <c r="AQ3" s="100"/>
    </row>
    <row r="4" spans="1:43" s="47" customFormat="1" ht="63.95" customHeight="1" x14ac:dyDescent="0.25">
      <c r="A4" s="40" t="s">
        <v>232</v>
      </c>
      <c r="B4" s="50" t="s">
        <v>233</v>
      </c>
      <c r="C4" s="50" t="s">
        <v>234</v>
      </c>
      <c r="D4" s="50" t="s">
        <v>235</v>
      </c>
      <c r="E4" s="50" t="s">
        <v>236</v>
      </c>
      <c r="F4" s="40" t="s">
        <v>237</v>
      </c>
      <c r="G4" s="40" t="s">
        <v>238</v>
      </c>
      <c r="H4" s="38" t="s">
        <v>239</v>
      </c>
      <c r="I4" s="38" t="s">
        <v>240</v>
      </c>
      <c r="J4" s="38" t="s">
        <v>241</v>
      </c>
      <c r="K4" s="38" t="s">
        <v>242</v>
      </c>
      <c r="L4" s="38" t="s">
        <v>243</v>
      </c>
      <c r="M4" s="38" t="s">
        <v>244</v>
      </c>
      <c r="N4" s="38" t="s">
        <v>239</v>
      </c>
      <c r="O4" s="38" t="s">
        <v>240</v>
      </c>
      <c r="P4" s="38" t="s">
        <v>241</v>
      </c>
      <c r="Q4" s="38" t="s">
        <v>242</v>
      </c>
      <c r="R4" s="38" t="s">
        <v>243</v>
      </c>
      <c r="S4" s="38" t="s">
        <v>244</v>
      </c>
      <c r="T4" s="40" t="s">
        <v>239</v>
      </c>
      <c r="U4" s="40" t="s">
        <v>240</v>
      </c>
      <c r="V4" s="40" t="s">
        <v>241</v>
      </c>
      <c r="W4" s="40" t="s">
        <v>242</v>
      </c>
      <c r="X4" s="40" t="s">
        <v>243</v>
      </c>
      <c r="Y4" s="40" t="s">
        <v>244</v>
      </c>
      <c r="Z4" s="40" t="s">
        <v>239</v>
      </c>
      <c r="AA4" s="40" t="s">
        <v>240</v>
      </c>
      <c r="AB4" s="40" t="s">
        <v>241</v>
      </c>
      <c r="AC4" s="40" t="s">
        <v>242</v>
      </c>
      <c r="AD4" s="40" t="s">
        <v>243</v>
      </c>
      <c r="AE4" s="40" t="s">
        <v>244</v>
      </c>
      <c r="AF4" s="40" t="s">
        <v>239</v>
      </c>
      <c r="AG4" s="40" t="s">
        <v>240</v>
      </c>
      <c r="AH4" s="40" t="s">
        <v>241</v>
      </c>
      <c r="AI4" s="40" t="s">
        <v>242</v>
      </c>
      <c r="AJ4" s="40" t="s">
        <v>243</v>
      </c>
      <c r="AK4" s="40" t="s">
        <v>244</v>
      </c>
      <c r="AL4" s="40" t="s">
        <v>239</v>
      </c>
      <c r="AM4" s="40" t="s">
        <v>240</v>
      </c>
      <c r="AN4" s="40" t="s">
        <v>241</v>
      </c>
      <c r="AO4" s="40" t="s">
        <v>242</v>
      </c>
      <c r="AP4" s="40" t="s">
        <v>243</v>
      </c>
      <c r="AQ4" s="40" t="s">
        <v>244</v>
      </c>
    </row>
    <row r="5" spans="1:43" s="39" customFormat="1" ht="44.25" customHeight="1" x14ac:dyDescent="0.25">
      <c r="A5" s="48" t="s">
        <v>245</v>
      </c>
      <c r="B5" s="51">
        <v>13.9</v>
      </c>
      <c r="C5" s="60">
        <v>7090</v>
      </c>
      <c r="D5" s="60">
        <v>12464.5455</v>
      </c>
      <c r="E5" s="51">
        <v>0</v>
      </c>
      <c r="F5" s="63">
        <v>4.6299999999999996E-3</v>
      </c>
      <c r="G5" s="63">
        <v>8.5500000000000003E-3</v>
      </c>
      <c r="H5" s="41">
        <f>($G5*(1-('Exposure Inputs'!$C$19/100))*'Exposure Inputs'!$C$6*1*'Exposure Inputs'!$C$15)/('Exposure Inputs'!$C$8*'Exposure Inputs'!$C$11)</f>
        <v>3.4407187500000006E-7</v>
      </c>
      <c r="I5" s="41">
        <f>($F5*(1-('Exposure Inputs'!$C$19)/100)*'Exposure Inputs'!$C$7*'Exposure Inputs'!$C$12*'Exposure Inputs'!$C$15*'Exposure Inputs'!$C$20)/('Exposure Inputs'!$C$8*'Exposure Inputs'!$C$13*'Exposure Inputs'!$C$16)</f>
        <v>4.8815566570535922E-8</v>
      </c>
      <c r="J5" s="41">
        <f>($F5*(1-('Exposure Inputs'!$C$19)/100)*'Exposure Inputs'!$C$7*'Exposure Inputs'!$C$12*'Exposure Inputs'!$C$15*'Exposure Inputs'!$C$20)/('Exposure Inputs'!$C$8*'Exposure Inputs'!$C$14*'Exposure Inputs'!$C$16)</f>
        <v>3.5672914032314714E-8</v>
      </c>
      <c r="K5" s="41">
        <f>($F5*(1-('Exposure Inputs'!$C$19)/100)*'Exposure Inputs'!$C$12*'Exposure Inputs'!$C$15*'Exposure Inputs'!$C$20)/('Exposure Inputs'!$C$14*'Exposure Inputs'!$C$16)</f>
        <v>3.2444151738672284E-6</v>
      </c>
      <c r="L5" s="41">
        <f>'Exposure Inputs'!$E$64/$H5</f>
        <v>57836752.858686849</v>
      </c>
      <c r="M5" s="41">
        <f>'Exposure Inputs'!$E$65/$I5</f>
        <v>133154246.82427566</v>
      </c>
      <c r="N5" s="41">
        <f>($G5*(1-('Exposure Inputs'!$C$19/100))*'Exposure Inputs'!$D$6*1*'Exposure Inputs'!$C$15)/('Exposure Inputs'!$D$8*'Exposure Inputs'!$D$11)</f>
        <v>1.2071872340425534E-6</v>
      </c>
      <c r="O5" s="41">
        <f>($F5*(1-('Exposure Inputs'!$C$19)/100)*'Exposure Inputs'!$D$7*'Exposure Inputs'!$D$12*'Exposure Inputs'!$C$15*'Exposure Inputs'!$C$20)/('Exposure Inputs'!$D$8*'Exposure Inputs'!$D$13*'Exposure Inputs'!$C$16)</f>
        <v>1.2469017779073156E-7</v>
      </c>
      <c r="P5" s="41">
        <f>($F5*(1-('Exposure Inputs'!$C$19)/100)*'Exposure Inputs'!$D$7*'Exposure Inputs'!$D$12*'Exposure Inputs'!$C$15*'Exposure Inputs'!$C$20)/('Exposure Inputs'!$D$8*'Exposure Inputs'!$C$14*'Exposure Inputs'!$C$16)</f>
        <v>9.111974530861153E-8</v>
      </c>
      <c r="Q5" s="41">
        <f>($F5*(1-('Exposure Inputs'!$C$19)/100)*'Exposure Inputs'!$D$12*'Exposure Inputs'!$C$15)/('Exposure Inputs'!$C$14*'Exposure Inputs'!$C$16)</f>
        <v>9.2697576396206511E-9</v>
      </c>
      <c r="R5" s="41">
        <f>'Exposure Inputs'!$E$64/N5</f>
        <v>16484601.094860919</v>
      </c>
      <c r="S5" s="41">
        <f>'Exposure Inputs'!$E$65/O5</f>
        <v>52129206.286873676</v>
      </c>
      <c r="T5" s="41">
        <f>($G5*(1-('Exposure Inputs'!$C$19/100))*'Exposure Inputs'!$E$6*'Exposure Inputs'!$C$15)/('Exposure Inputs'!$E$8*'Exposure Inputs'!$E$11)</f>
        <v>2.6438128491620117E-7</v>
      </c>
      <c r="U5" s="41">
        <f>($F5*(1-('Exposure Inputs'!$C$19)/100)*'Exposure Inputs'!$E$7*'Exposure Inputs'!$E$12*'Exposure Inputs'!$C$15)/('Exposure Inputs'!$E$8*'Exposure Inputs'!$E$13*'Exposure Inputs'!$C$16)</f>
        <v>7.7243437667406434E-11</v>
      </c>
      <c r="V5" s="41">
        <f>($F5*(1-('Exposure Inputs'!$C$19)/100)*'Exposure Inputs'!$E$7*'Exposure Inputs'!$E$12*'Exposure Inputs'!$C$15)/('Exposure Inputs'!$E$8*'Exposure Inputs'!$C$14*'Exposure Inputs'!$C$16)</f>
        <v>4.9515024145773363E-12</v>
      </c>
      <c r="W5" s="41">
        <f>($F5*(1-('Exposure Inputs'!$C$19)/100)*'Exposure Inputs'!$E$12*'Exposure Inputs'!$C$15)/('Exposure Inputs'!$C$14*'Exposure Inputs'!$C$16)</f>
        <v>8.1313663505444311E-10</v>
      </c>
      <c r="X5" s="41">
        <f>'Exposure Inputs'!$E$64/T5</f>
        <v>75270078.236844733</v>
      </c>
      <c r="Y5" s="41">
        <f>'Exposure Inputs'!$E$65/U5</f>
        <v>84149543265.89653</v>
      </c>
      <c r="Z5" s="41">
        <f>($G5*(1-('Exposure Inputs'!$C$19/100))*'Exposure Inputs'!$F$6*'Exposure Inputs'!$C$15)/('Exposure Inputs'!$F$8*'Exposure Inputs'!$F$11)</f>
        <v>2.6508010563380283E-7</v>
      </c>
      <c r="AA5" s="41">
        <f>($F5*(1-('Exposure Inputs'!$C$19)/100)*'Exposure Inputs'!$F$7*'Exposure Inputs'!$F$12*'Exposure Inputs'!$C$15)/('Exposure Inputs'!$F$8*'Exposure Inputs'!$F$13*'Exposure Inputs'!$C$16)</f>
        <v>7.0347771560872083E-11</v>
      </c>
      <c r="AB5" s="41">
        <f>($F5*(1-('Exposure Inputs'!$C$19)/100)*'Exposure Inputs'!$F$7*'Exposure Inputs'!$F$12*'Exposure Inputs'!$C$15)/('Exposure Inputs'!$F$8*'Exposure Inputs'!$C$14*'Exposure Inputs'!$C$16)</f>
        <v>4.5094725359533391E-12</v>
      </c>
      <c r="AC5" s="41">
        <f>($F5*(1-('Exposure Inputs'!$C$19)/100)*'Exposure Inputs'!$F$12*'Exposure Inputs'!$C$15)/('Exposure Inputs'!$C$14*'Exposure Inputs'!$C$16)</f>
        <v>8.1313663505444311E-10</v>
      </c>
      <c r="AD5" s="41">
        <f>'Exposure Inputs'!$E$64/Z5</f>
        <v>75071646.5591387</v>
      </c>
      <c r="AE5" s="41">
        <f>'Exposure Inputs'!$E$65/AA5</f>
        <v>92398093866.776367</v>
      </c>
      <c r="AF5" s="41">
        <f>($G5*(1-('Exposure Inputs'!$C$19/100))*'Exposure Inputs'!$G$6*'Exposure Inputs'!$C$15)/('Exposure Inputs'!$G$8*'Exposure Inputs'!$G$11)</f>
        <v>3.3823584905660379E-7</v>
      </c>
      <c r="AG5" s="41">
        <f>($F5*(1-('Exposure Inputs'!$C$19)/100)*'Exposure Inputs'!$G$7*'Exposure Inputs'!$G$12*'Exposure Inputs'!$C$15)/('Exposure Inputs'!$G$8*'Exposure Inputs'!$G$13*'Exposure Inputs'!$C$16)</f>
        <v>1.1727578185577668E-10</v>
      </c>
      <c r="AH5" s="41">
        <f>($F5*(1-('Exposure Inputs'!$C$19)/100)*'Exposure Inputs'!$G$7*'Exposure Inputs'!$G$12*'Exposure Inputs'!$C$15)/('Exposure Inputs'!$G$8*'Exposure Inputs'!$C$14*'Exposure Inputs'!$C$16)</f>
        <v>7.5176783240882484E-12</v>
      </c>
      <c r="AI5" s="41">
        <f>($F5*(1-('Exposure Inputs'!$C$19)/100)*'Exposure Inputs'!$G$12*'Exposure Inputs'!$C$15)/('Exposure Inputs'!$C$14*'Exposure Inputs'!$C$16)</f>
        <v>8.1313663505444311E-10</v>
      </c>
      <c r="AJ5" s="41">
        <f>'Exposure Inputs'!$E$64/AF5</f>
        <v>58834686.079268113</v>
      </c>
      <c r="AK5" s="41">
        <f>'Exposure Inputs'!$E$65/AG5</f>
        <v>55424912945.739853</v>
      </c>
      <c r="AL5" s="41">
        <f>($G5*(1-('Exposure Inputs'!$C$19/100))*'Exposure Inputs'!$H$6*'Exposure Inputs'!$C$15)/('Exposure Inputs'!$H$8*'Exposure Inputs'!$H$11)</f>
        <v>4.2929444444444441E-7</v>
      </c>
      <c r="AM5" s="41">
        <f>($F5*(1-('Exposure Inputs'!$C$19)/100)*'Exposure Inputs'!$H$7*'Exposure Inputs'!$H$12*'Exposure Inputs'!$C$15)/('Exposure Inputs'!$H$8*'Exposure Inputs'!$H$13*'Exposure Inputs'!$C$16)</f>
        <v>1.5268899036022321E-10</v>
      </c>
      <c r="AN5" s="41">
        <f>($F5*(1-('Exposure Inputs'!$C$19)/100)*'Exposure Inputs'!$H$7*'Exposure Inputs'!$H$12*'Exposure Inputs'!$C$15)/('Exposure Inputs'!$H$8*'Exposure Inputs'!$C$14*'Exposure Inputs'!$C$16)</f>
        <v>9.7877557923220008E-12</v>
      </c>
      <c r="AO5" s="41">
        <f>($F5*(1-('Exposure Inputs'!$C$19)/100)*'Exposure Inputs'!$H$12*'Exposure Inputs'!$C$15)/('Exposure Inputs'!$C$14*'Exposure Inputs'!$C$16)</f>
        <v>8.1313663505444311E-10</v>
      </c>
      <c r="AP5" s="41">
        <f>'Exposure Inputs'!$E$64/AL5</f>
        <v>46355130.51130408</v>
      </c>
      <c r="AQ5" s="41">
        <f>'Exposure Inputs'!$E$65/AM5</f>
        <v>42570194384.449249</v>
      </c>
    </row>
    <row r="6" spans="1:43" s="39" customFormat="1" ht="76.5" x14ac:dyDescent="0.25">
      <c r="A6" s="48" t="s">
        <v>666</v>
      </c>
      <c r="B6" s="51">
        <v>1.43</v>
      </c>
      <c r="C6" s="60">
        <v>511</v>
      </c>
      <c r="D6" s="60">
        <v>998.00199999999995</v>
      </c>
      <c r="E6" s="51">
        <v>0</v>
      </c>
      <c r="F6" s="55">
        <v>29.6</v>
      </c>
      <c r="G6" s="55">
        <v>55.6</v>
      </c>
      <c r="H6" s="41">
        <f>($G6*(1-('Exposure Inputs'!$C$19/100))*'Exposure Inputs'!$C$6*1*'Exposure Inputs'!$C$15)/('Exposure Inputs'!$C$8*'Exposure Inputs'!$C$11)</f>
        <v>2.237473245614035E-3</v>
      </c>
      <c r="I6" s="41">
        <f>($F6*(1-('Exposure Inputs'!$C$19)/100)*'Exposure Inputs'!$C$7*'Exposure Inputs'!$C$12*'Exposure Inputs'!$C$15*'Exposure Inputs'!$C$20)/('Exposure Inputs'!$C$8*'Exposure Inputs'!$C$13*'Exposure Inputs'!$C$16)</f>
        <v>3.1208223984619085E-4</v>
      </c>
      <c r="J6" s="41">
        <f>($F6*(1-('Exposure Inputs'!$C$19)/100)*'Exposure Inputs'!$C$7*'Exposure Inputs'!$C$12*'Exposure Inputs'!$C$15*'Exposure Inputs'!$C$20)/('Exposure Inputs'!$C$8*'Exposure Inputs'!$C$14*'Exposure Inputs'!$C$16)</f>
        <v>2.2806009834913947E-4</v>
      </c>
      <c r="K6" s="41">
        <f>($F6*(1-('Exposure Inputs'!$C$19)/100)*'Exposure Inputs'!$C$12*'Exposure Inputs'!$C$15)/('Exposure Inputs'!$C$14*'Exposure Inputs'!$C$16)</f>
        <v>5.926238145416228E-5</v>
      </c>
      <c r="L6" s="41">
        <f>'Exposure Inputs'!$E$64/$H6</f>
        <v>8893.9610960750488</v>
      </c>
      <c r="M6" s="41">
        <f>'Exposure Inputs'!$E$65/$I6</f>
        <v>20827.843337716087</v>
      </c>
      <c r="N6" s="41">
        <f>($G6*(1-('Exposure Inputs'!$C$19/100))*'Exposure Inputs'!$D$6*1*'Exposure Inputs'!$C$15)/('Exposure Inputs'!$D$8*'Exposure Inputs'!$D$11)</f>
        <v>7.8502468085106403E-3</v>
      </c>
      <c r="O6" s="41">
        <f>($F6*(1-('Exposure Inputs'!$C$19)/100)*'Exposure Inputs'!$D$7*'Exposure Inputs'!$D$12*'Exposure Inputs'!$C$15*'Exposure Inputs'!$C$20)/('Exposure Inputs'!$D$8*'Exposure Inputs'!$D$13*'Exposure Inputs'!$C$16)</f>
        <v>7.9715534829495778E-4</v>
      </c>
      <c r="P6" s="41">
        <f>($F6*(1-('Exposure Inputs'!$C$19)/100)*'Exposure Inputs'!$D$7*'Exposure Inputs'!$D$12*'Exposure Inputs'!$C$15*'Exposure Inputs'!$C$20)/('Exposure Inputs'!$D$8*'Exposure Inputs'!$C$14*'Exposure Inputs'!$C$16)</f>
        <v>5.825366006770845E-4</v>
      </c>
      <c r="Q6" s="41">
        <f>($F6*(1-('Exposure Inputs'!$C$19)/100)*'Exposure Inputs'!$D$12*'Exposure Inputs'!$C$15)/('Exposure Inputs'!$C$14*'Exposure Inputs'!$C$16)</f>
        <v>5.926238145416228E-5</v>
      </c>
      <c r="R6" s="41">
        <f>'Exposure Inputs'!$E$64/N6</f>
        <v>2534.9521467816699</v>
      </c>
      <c r="S6" s="41">
        <f>'Exposure Inputs'!$E$65/O6</f>
        <v>8153.9940914940908</v>
      </c>
      <c r="T6" s="41">
        <f>($G6*(1-('Exposure Inputs'!$C$19/100))*'Exposure Inputs'!$E$6*'Exposure Inputs'!$C$15)/('Exposure Inputs'!$E$8*'Exposure Inputs'!$E$11)</f>
        <v>1.7192513966480447E-3</v>
      </c>
      <c r="U6" s="41">
        <f>($F6*(1-('Exposure Inputs'!$C$19)/100)*'Exposure Inputs'!$E$7*'Exposure Inputs'!$E$12*'Exposure Inputs'!$C$15)/('Exposure Inputs'!$E$8*'Exposure Inputs'!$E$13*'Exposure Inputs'!$C$16)</f>
        <v>4.9382413713935855E-7</v>
      </c>
      <c r="V6" s="41">
        <f>($F6*(1-('Exposure Inputs'!$C$19)/100)*'Exposure Inputs'!$E$7*'Exposure Inputs'!$E$12*'Exposure Inputs'!$C$15)/('Exposure Inputs'!$E$8*'Exposure Inputs'!$C$14*'Exposure Inputs'!$C$16)</f>
        <v>3.1655393406369143E-8</v>
      </c>
      <c r="W6" s="41">
        <f>($F6*(1-('Exposure Inputs'!$C$19)/100)*'Exposure Inputs'!$E$12*'Exposure Inputs'!$C$15)/('Exposure Inputs'!$C$14*'Exposure Inputs'!$C$16)</f>
        <v>5.1984545135230063E-6</v>
      </c>
      <c r="X6" s="41">
        <f>'Exposure Inputs'!$E$64/T6</f>
        <v>11574.805196493211</v>
      </c>
      <c r="Y6" s="41">
        <f>'Exposure Inputs'!$E$65/U6</f>
        <v>13162580.585172331</v>
      </c>
      <c r="Z6" s="41">
        <f>($G6*(1-('Exposure Inputs'!$C$19/100))*'Exposure Inputs'!$F$6*'Exposure Inputs'!$C$15)/('Exposure Inputs'!$F$8*'Exposure Inputs'!$F$11)</f>
        <v>1.7237957746478875E-3</v>
      </c>
      <c r="AA6" s="41">
        <f>($F6*(1-('Exposure Inputs'!$C$19)/100)*'Exposure Inputs'!$F$7*'Exposure Inputs'!$F$12*'Exposure Inputs'!$C$15)/('Exposure Inputs'!$F$8*'Exposure Inputs'!$F$13*'Exposure Inputs'!$C$16)</f>
        <v>4.4973953308894466E-7</v>
      </c>
      <c r="AB6" s="41">
        <f>($F6*(1-('Exposure Inputs'!$C$19)/100)*'Exposure Inputs'!$F$7*'Exposure Inputs'!$F$12*'Exposure Inputs'!$C$15)/('Exposure Inputs'!$F$8*'Exposure Inputs'!$C$14*'Exposure Inputs'!$C$16)</f>
        <v>2.8829457249291329E-8</v>
      </c>
      <c r="AC6" s="41">
        <f>($F6*(1-('Exposure Inputs'!$C$19)/100)*'Exposure Inputs'!$F$12*'Exposure Inputs'!$C$15)/('Exposure Inputs'!$C$14*'Exposure Inputs'!$C$16)</f>
        <v>5.1984545135230063E-6</v>
      </c>
      <c r="AD6" s="41">
        <f>'Exposure Inputs'!$E$64/Z6</f>
        <v>11544.290972673307</v>
      </c>
      <c r="AE6" s="41">
        <f>'Exposure Inputs'!$E$65/AA6</f>
        <v>14452809.952809952</v>
      </c>
      <c r="AF6" s="41">
        <f>($G6*(1-('Exposure Inputs'!$C$19/100))*'Exposure Inputs'!$G$6*'Exposure Inputs'!$C$15)/('Exposure Inputs'!$G$8*'Exposure Inputs'!$G$11)</f>
        <v>2.1995220125786163E-3</v>
      </c>
      <c r="AG6" s="41">
        <f>($F6*(1-('Exposure Inputs'!$C$19)/100)*'Exposure Inputs'!$G$7*'Exposure Inputs'!$G$12*'Exposure Inputs'!$C$15)/('Exposure Inputs'!$G$8*'Exposure Inputs'!$G$13*'Exposure Inputs'!$C$16)</f>
        <v>7.4975445851641256E-7</v>
      </c>
      <c r="AH6" s="41">
        <f>($F6*(1-('Exposure Inputs'!$C$19)/100)*'Exposure Inputs'!$G$7*'Exposure Inputs'!$G$12*'Exposure Inputs'!$C$15)/('Exposure Inputs'!$G$8*'Exposure Inputs'!$C$14*'Exposure Inputs'!$C$16)</f>
        <v>4.8061183238231575E-8</v>
      </c>
      <c r="AI6" s="41">
        <f>($F6*(1-('Exposure Inputs'!$C$19)/100)*'Exposure Inputs'!$G$12*'Exposure Inputs'!$C$15)/('Exposure Inputs'!$C$14*'Exposure Inputs'!$C$16)</f>
        <v>5.1984545135230063E-6</v>
      </c>
      <c r="AJ6" s="41">
        <f>'Exposure Inputs'!$E$64/AF6</f>
        <v>9047.4202513982455</v>
      </c>
      <c r="AK6" s="41">
        <f>'Exposure Inputs'!$E$65/AG6</f>
        <v>8669504.9641478211</v>
      </c>
      <c r="AL6" s="41">
        <f>($G6*(1-('Exposure Inputs'!$C$19/100))*'Exposure Inputs'!$H$6*'Exposure Inputs'!$C$15)/('Exposure Inputs'!$H$8*'Exposure Inputs'!$H$11)</f>
        <v>2.7916691358024688E-3</v>
      </c>
      <c r="AM6" s="41">
        <f>($F6*(1-('Exposure Inputs'!$C$19)/100)*'Exposure Inputs'!$H$7*'Exposure Inputs'!$H$12*'Exposure Inputs'!$C$15)/('Exposure Inputs'!$H$8*'Exposure Inputs'!$H$13*'Exposure Inputs'!$C$16)</f>
        <v>9.7615423642820891E-7</v>
      </c>
      <c r="AN6" s="41">
        <f>($F6*(1-('Exposure Inputs'!$C$19)/100)*'Exposure Inputs'!$H$7*'Exposure Inputs'!$H$12*'Exposure Inputs'!$C$15)/('Exposure Inputs'!$H$8*'Exposure Inputs'!$C$14*'Exposure Inputs'!$C$16)</f>
        <v>6.2573989514628778E-8</v>
      </c>
      <c r="AO6" s="41">
        <f>($F6*(1-('Exposure Inputs'!$C$19)/100)*'Exposure Inputs'!$H$12*'Exposure Inputs'!$C$15)/('Exposure Inputs'!$C$14*'Exposure Inputs'!$C$16)</f>
        <v>5.1984545135230063E-6</v>
      </c>
      <c r="AP6" s="41">
        <f>'Exposure Inputs'!$E$64/AL6</f>
        <v>7128.3519041663649</v>
      </c>
      <c r="AQ6" s="41">
        <f>'Exposure Inputs'!$E$65/AM6</f>
        <v>6658783.7837837851</v>
      </c>
    </row>
    <row r="7" spans="1:43" s="39" customFormat="1" ht="38.25" x14ac:dyDescent="0.25">
      <c r="A7" s="48" t="s">
        <v>246</v>
      </c>
      <c r="B7" s="51">
        <v>0.64800000000000002</v>
      </c>
      <c r="C7" s="60">
        <v>2940</v>
      </c>
      <c r="D7" s="60">
        <v>4969.5933999999997</v>
      </c>
      <c r="E7" s="51">
        <v>0</v>
      </c>
      <c r="F7" s="66">
        <v>2.7399999999999999E-4</v>
      </c>
      <c r="G7" s="66">
        <v>3.6900000000000002E-4</v>
      </c>
      <c r="H7" s="41">
        <f>($G7*(1-('Exposure Inputs'!$C$19/100))*'Exposure Inputs'!$C$6*1*'Exposure Inputs'!$C$15)/('Exposure Inputs'!$C$8*'Exposure Inputs'!$C$11)</f>
        <v>1.4849417763157895E-8</v>
      </c>
      <c r="I7" s="41">
        <f>($F7*(1-('Exposure Inputs'!$C$19)/100)*'Exposure Inputs'!$C$7*'Exposure Inputs'!$C$12*'Exposure Inputs'!$C$15*'Exposure Inputs'!$C$20)/('Exposure Inputs'!$C$8*'Exposure Inputs'!$C$13*'Exposure Inputs'!$C$16)</f>
        <v>2.8888693823600095E-9</v>
      </c>
      <c r="J7" s="41">
        <f>($F7*(1-('Exposure Inputs'!$C$19)/100)*'Exposure Inputs'!$C$7*'Exposure Inputs'!$C$12*'Exposure Inputs'!$C$15*'Exposure Inputs'!$C$20)/('Exposure Inputs'!$C$8*'Exposure Inputs'!$C$14*'Exposure Inputs'!$C$16)</f>
        <v>2.111096856340007E-9</v>
      </c>
      <c r="K7" s="41">
        <f>($F7*(1-('Exposure Inputs'!$C$19)/100)*'Exposure Inputs'!$C$12*'Exposure Inputs'!$C$15)/('Exposure Inputs'!$C$14*'Exposure Inputs'!$C$16)</f>
        <v>5.4857744994731304E-10</v>
      </c>
      <c r="L7" s="41">
        <f>'Exposure Inputs'!$E$64/$H7</f>
        <v>1340119883.3110371</v>
      </c>
      <c r="M7" s="41">
        <f>'Exposure Inputs'!$E$65/$I7</f>
        <v>2250015192.6875777</v>
      </c>
      <c r="N7" s="41">
        <f>($G7*(1-('Exposure Inputs'!$C$19/100))*'Exposure Inputs'!$D$6*1*'Exposure Inputs'!$C$15)/('Exposure Inputs'!$D$8*'Exposure Inputs'!$D$11)</f>
        <v>5.2099659574468098E-8</v>
      </c>
      <c r="O7" s="41">
        <f>($F7*(1-('Exposure Inputs'!$C$19)/100)*'Exposure Inputs'!$D$7*'Exposure Inputs'!$D$12*'Exposure Inputs'!$C$15*'Exposure Inputs'!$C$20)/('Exposure Inputs'!$D$8*'Exposure Inputs'!$D$13*'Exposure Inputs'!$C$16)</f>
        <v>7.3790731565141363E-9</v>
      </c>
      <c r="P7" s="41">
        <f>($F7*(1-('Exposure Inputs'!$C$19)/100)*'Exposure Inputs'!$D$7*'Exposure Inputs'!$D$12*'Exposure Inputs'!$C$15*'Exposure Inputs'!$C$20)/('Exposure Inputs'!$D$8*'Exposure Inputs'!$C$14*'Exposure Inputs'!$C$16)</f>
        <v>5.3923996143757145E-9</v>
      </c>
      <c r="Q7" s="41">
        <f>($F7*(1-('Exposure Inputs'!$C$19)/100)*'Exposure Inputs'!$D$12*'Exposure Inputs'!$C$15)/('Exposure Inputs'!$C$14*'Exposure Inputs'!$C$16)</f>
        <v>5.4857744994731304E-10</v>
      </c>
      <c r="R7" s="41">
        <f>'Exposure Inputs'!$E$64/N7</f>
        <v>381960269.27116758</v>
      </c>
      <c r="S7" s="41">
        <f>'Exposure Inputs'!$E$65/O7</f>
        <v>880869434.70155144</v>
      </c>
      <c r="T7" s="41">
        <f>($G7*(1-('Exposure Inputs'!$C$19/100))*'Exposure Inputs'!$E$6*'Exposure Inputs'!$C$15)/('Exposure Inputs'!$E$8*'Exposure Inputs'!$E$11)</f>
        <v>1.1410139664804472E-8</v>
      </c>
      <c r="U7" s="41">
        <f>($F7*(1-('Exposure Inputs'!$C$19)/100)*'Exposure Inputs'!$E$7*'Exposure Inputs'!$E$12*'Exposure Inputs'!$C$15)/('Exposure Inputs'!$E$8*'Exposure Inputs'!$E$13*'Exposure Inputs'!$C$16)</f>
        <v>4.5712099181143327E-12</v>
      </c>
      <c r="V7" s="41">
        <f>($F7*(1-('Exposure Inputs'!$C$19)/100)*'Exposure Inputs'!$E$7*'Exposure Inputs'!$E$12*'Exposure Inputs'!$C$15)/('Exposure Inputs'!$E$8*'Exposure Inputs'!$C$14*'Exposure Inputs'!$C$16)</f>
        <v>2.9302627680220086E-13</v>
      </c>
      <c r="W7" s="41">
        <f>($F7*(1-('Exposure Inputs'!$C$19)/100)*'Exposure Inputs'!$E$12*'Exposure Inputs'!$C$15)/('Exposure Inputs'!$C$14*'Exposure Inputs'!$C$16)</f>
        <v>4.812082894274675E-11</v>
      </c>
      <c r="X7" s="41">
        <f>'Exposure Inputs'!$E$64/T7</f>
        <v>1744062788.4146948</v>
      </c>
      <c r="Y7" s="41">
        <f>'Exposure Inputs'!$E$65/U7</f>
        <v>1421943012120.8066</v>
      </c>
      <c r="Z7" s="41">
        <f>($G7*(1-('Exposure Inputs'!$C$19/100))*'Exposure Inputs'!$F$6*'Exposure Inputs'!$C$15)/('Exposure Inputs'!$F$8*'Exposure Inputs'!$F$11)</f>
        <v>1.1440299295774649E-8</v>
      </c>
      <c r="AA7" s="41">
        <f>($F7*(1-('Exposure Inputs'!$C$19)/100)*'Exposure Inputs'!$F$7*'Exposure Inputs'!$F$12*'Exposure Inputs'!$C$15)/('Exposure Inputs'!$F$8*'Exposure Inputs'!$F$13*'Exposure Inputs'!$C$16)</f>
        <v>4.1631294617017165E-12</v>
      </c>
      <c r="AB7" s="41">
        <f>($F7*(1-('Exposure Inputs'!$C$19)/100)*'Exposure Inputs'!$F$7*'Exposure Inputs'!$F$12*'Exposure Inputs'!$C$15)/('Exposure Inputs'!$F$8*'Exposure Inputs'!$C$14*'Exposure Inputs'!$C$16)</f>
        <v>2.6686727318600755E-13</v>
      </c>
      <c r="AC7" s="41">
        <f>($F7*(1-('Exposure Inputs'!$C$19)/100)*'Exposure Inputs'!$F$12*'Exposure Inputs'!$C$15)/('Exposure Inputs'!$C$14*'Exposure Inputs'!$C$16)</f>
        <v>4.812082894274675E-11</v>
      </c>
      <c r="AD7" s="41">
        <f>'Exposure Inputs'!$E$64/Z7</f>
        <v>1739464981.2483358</v>
      </c>
      <c r="AE7" s="41">
        <f>'Exposure Inputs'!$E$65/AA7</f>
        <v>1561325454756.1118</v>
      </c>
      <c r="AF7" s="41">
        <f>($G7*(1-('Exposure Inputs'!$C$19/100))*'Exposure Inputs'!$G$6*'Exposure Inputs'!$C$15)/('Exposure Inputs'!$G$8*'Exposure Inputs'!$G$11)</f>
        <v>1.4597547169811321E-8</v>
      </c>
      <c r="AG7" s="41">
        <f>($F7*(1-('Exposure Inputs'!$C$19)/100)*'Exposure Inputs'!$G$7*'Exposure Inputs'!$G$12*'Exposure Inputs'!$C$15)/('Exposure Inputs'!$G$8*'Exposure Inputs'!$G$13*'Exposure Inputs'!$C$16)</f>
        <v>6.9402946497803039E-12</v>
      </c>
      <c r="AH7" s="41">
        <f>($F7*(1-('Exposure Inputs'!$C$19)/100)*'Exposure Inputs'!$G$7*'Exposure Inputs'!$G$12*'Exposure Inputs'!$C$15)/('Exposure Inputs'!$G$8*'Exposure Inputs'!$C$14*'Exposure Inputs'!$C$16)</f>
        <v>4.4489068267822464E-13</v>
      </c>
      <c r="AI7" s="41">
        <f>($F7*(1-('Exposure Inputs'!$C$19)/100)*'Exposure Inputs'!$G$12*'Exposure Inputs'!$C$15)/('Exposure Inputs'!$C$14*'Exposure Inputs'!$C$16)</f>
        <v>4.812082894274675E-11</v>
      </c>
      <c r="AJ7" s="41">
        <f>'Exposure Inputs'!$E$64/AF7</f>
        <v>1363242726.2269442</v>
      </c>
      <c r="AK7" s="41">
        <f>'Exposure Inputs'!$E$65/AG7</f>
        <v>936559660360.49475</v>
      </c>
      <c r="AL7" s="41">
        <f>($G7*(1-('Exposure Inputs'!$C$19/100))*'Exposure Inputs'!$H$6*'Exposure Inputs'!$C$15)/('Exposure Inputs'!$H$8*'Exposure Inputs'!$H$11)</f>
        <v>1.8527444444444441E-8</v>
      </c>
      <c r="AM7" s="41">
        <f>($F7*(1-('Exposure Inputs'!$C$19)/100)*'Exposure Inputs'!$H$7*'Exposure Inputs'!$H$12*'Exposure Inputs'!$C$15)/('Exposure Inputs'!$H$8*'Exposure Inputs'!$H$13*'Exposure Inputs'!$C$16)</f>
        <v>9.0360223236935561E-12</v>
      </c>
      <c r="AN7" s="41">
        <f>($F7*(1-('Exposure Inputs'!$C$19)/100)*'Exposure Inputs'!$H$7*'Exposure Inputs'!$H$12*'Exposure Inputs'!$C$15)/('Exposure Inputs'!$H$8*'Exposure Inputs'!$C$14*'Exposure Inputs'!$C$16)</f>
        <v>5.7923220023676642E-13</v>
      </c>
      <c r="AO7" s="41">
        <f>($F7*(1-('Exposure Inputs'!$C$19)/100)*'Exposure Inputs'!$H$12*'Exposure Inputs'!$C$15)/('Exposure Inputs'!$C$14*'Exposure Inputs'!$C$16)</f>
        <v>4.812082894274675E-11</v>
      </c>
      <c r="AP7" s="41">
        <f>'Exposure Inputs'!$E$64/AL7</f>
        <v>1074082292.3350947</v>
      </c>
      <c r="AQ7" s="41">
        <f>'Exposure Inputs'!$E$65/AM7</f>
        <v>719343065693.43066</v>
      </c>
    </row>
    <row r="8" spans="1:43" s="39" customFormat="1" ht="39.950000000000003" customHeight="1" x14ac:dyDescent="0.25">
      <c r="A8" s="48" t="s">
        <v>247</v>
      </c>
      <c r="B8" s="51">
        <v>3.1300000000000001E-2</v>
      </c>
      <c r="C8" s="60">
        <v>9.7799999999999994</v>
      </c>
      <c r="D8" s="60">
        <v>35.536999999999999</v>
      </c>
      <c r="E8" s="51">
        <v>0</v>
      </c>
      <c r="F8" s="55">
        <v>0.53700000000000003</v>
      </c>
      <c r="G8" s="55">
        <v>5.57</v>
      </c>
      <c r="H8" s="41">
        <f>($G8*(1-('Exposure Inputs'!$C$19/100))*'Exposure Inputs'!$C$6*1*'Exposure Inputs'!$C$15)/('Exposure Inputs'!$C$8*'Exposure Inputs'!$C$11)</f>
        <v>2.2414974780701757E-4</v>
      </c>
      <c r="I8" s="41">
        <f>($F8*(1-('Exposure Inputs'!$C$19)/100)*'Exposure Inputs'!$C$7*'Exposure Inputs'!$C$12*'Exposure Inputs'!$C$15*'Exposure Inputs'!$C$20)/('Exposure Inputs'!$C$8*'Exposure Inputs'!$C$13*'Exposure Inputs'!$C$16)</f>
        <v>5.6617622566690705E-6</v>
      </c>
      <c r="J8" s="41">
        <f>($F8*(1-('Exposure Inputs'!$C$19)/100)*'Exposure Inputs'!$C$7*'Exposure Inputs'!$C$12*'Exposure Inputs'!$C$15*'Exposure Inputs'!$C$20)/('Exposure Inputs'!$C$8*'Exposure Inputs'!$C$14*'Exposure Inputs'!$C$16)</f>
        <v>4.1374416491043208E-6</v>
      </c>
      <c r="K8" s="41">
        <f>($F8*(1-('Exposure Inputs'!$C$19)/100)*'Exposure Inputs'!$C$12*'Exposure Inputs'!$C$15)/('Exposure Inputs'!$C$14*'Exposure Inputs'!$C$16)</f>
        <v>1.075131717597471E-6</v>
      </c>
      <c r="L8" s="41">
        <f>'Exposure Inputs'!$E$64/$H8</f>
        <v>88779.934818989699</v>
      </c>
      <c r="M8" s="41">
        <f>'Exposure Inputs'!$E$65/$I8</f>
        <v>1148052.4446860263</v>
      </c>
      <c r="N8" s="41">
        <f>($G8*(1-('Exposure Inputs'!$C$19/100))*'Exposure Inputs'!$D$6*1*'Exposure Inputs'!$C$15)/('Exposure Inputs'!$D$8*'Exposure Inputs'!$D$11)</f>
        <v>7.8643659574468108E-4</v>
      </c>
      <c r="O8" s="41">
        <f>($F8*(1-('Exposure Inputs'!$C$19)/100)*'Exposure Inputs'!$D$7*'Exposure Inputs'!$D$12*'Exposure Inputs'!$C$15*'Exposure Inputs'!$C$20)/('Exposure Inputs'!$D$8*'Exposure Inputs'!$D$13*'Exposure Inputs'!$C$16)</f>
        <v>1.4461906149810553E-5</v>
      </c>
      <c r="P8" s="41">
        <f>($F8*(1-('Exposure Inputs'!$C$19)/100)*'Exposure Inputs'!$D$7*'Exposure Inputs'!$D$12*'Exposure Inputs'!$C$15*'Exposure Inputs'!$C$20)/('Exposure Inputs'!$D$8*'Exposure Inputs'!$C$14*'Exposure Inputs'!$C$16)</f>
        <v>1.0568316032553865E-5</v>
      </c>
      <c r="Q8" s="41">
        <f>($F8*(1-('Exposure Inputs'!$C$19)/100)*'Exposure Inputs'!$D$12*'Exposure Inputs'!$C$15)/('Exposure Inputs'!$C$14*'Exposure Inputs'!$C$16)</f>
        <v>1.075131717597471E-6</v>
      </c>
      <c r="R8" s="41">
        <f>'Exposure Inputs'!$E$64/N8</f>
        <v>25304.010657282015</v>
      </c>
      <c r="S8" s="41">
        <f>'Exposure Inputs'!$E$65/O8</f>
        <v>449456.65755721618</v>
      </c>
      <c r="T8" s="41">
        <f>($G8*(1-('Exposure Inputs'!$C$19/100))*'Exposure Inputs'!$E$6*'Exposure Inputs'!$C$15)/('Exposure Inputs'!$E$8*'Exposure Inputs'!$E$11)</f>
        <v>1.7223435754189944E-4</v>
      </c>
      <c r="U8" s="41">
        <f>($F8*(1-('Exposure Inputs'!$C$19)/100)*'Exposure Inputs'!$E$7*'Exposure Inputs'!$E$12*'Exposure Inputs'!$C$15)/('Exposure Inputs'!$E$8*'Exposure Inputs'!$E$13*'Exposure Inputs'!$C$16)</f>
        <v>8.9589041095890418E-9</v>
      </c>
      <c r="V8" s="41">
        <f>($F8*(1-('Exposure Inputs'!$C$19)/100)*'Exposure Inputs'!$E$7*'Exposure Inputs'!$E$12*'Exposure Inputs'!$C$15)/('Exposure Inputs'!$E$8*'Exposure Inputs'!$C$14*'Exposure Inputs'!$C$16)</f>
        <v>5.7428872497365657E-10</v>
      </c>
      <c r="W8" s="41">
        <f>($F8*(1-('Exposure Inputs'!$C$19)/100)*'Exposure Inputs'!$E$12*'Exposure Inputs'!$C$15)/('Exposure Inputs'!$C$14*'Exposure Inputs'!$C$16)</f>
        <v>9.4309799789251854E-8</v>
      </c>
      <c r="X8" s="41">
        <f>'Exposure Inputs'!$E$64/T8</f>
        <v>115540.24576750853</v>
      </c>
      <c r="Y8" s="41">
        <f>'Exposure Inputs'!$E$65/U8</f>
        <v>725535168.19571865</v>
      </c>
      <c r="Z8" s="41">
        <f>($G8*(1-('Exposure Inputs'!$C$19/100))*'Exposure Inputs'!$F$6*'Exposure Inputs'!$C$15)/('Exposure Inputs'!$F$8*'Exposure Inputs'!$F$11)</f>
        <v>1.7268961267605633E-4</v>
      </c>
      <c r="AA8" s="41">
        <f>($F8*(1-('Exposure Inputs'!$C$19)/100)*'Exposure Inputs'!$F$7*'Exposure Inputs'!$F$12*'Exposure Inputs'!$C$15)/('Exposure Inputs'!$F$8*'Exposure Inputs'!$F$13*'Exposure Inputs'!$C$16)</f>
        <v>8.1591259888095691E-9</v>
      </c>
      <c r="AB8" s="41">
        <f>($F8*(1-('Exposure Inputs'!$C$19)/100)*'Exposure Inputs'!$F$7*'Exposure Inputs'!$F$12*'Exposure Inputs'!$C$15)/('Exposure Inputs'!$F$8*'Exposure Inputs'!$C$14*'Exposure Inputs'!$C$16)</f>
        <v>5.230208967185622E-10</v>
      </c>
      <c r="AC8" s="41">
        <f>($F8*(1-('Exposure Inputs'!$C$19)/100)*'Exposure Inputs'!$F$12*'Exposure Inputs'!$C$15)/('Exposure Inputs'!$C$14*'Exposure Inputs'!$C$16)</f>
        <v>9.4309799789251854E-8</v>
      </c>
      <c r="AD8" s="41">
        <f>'Exposure Inputs'!$E$64/Z8</f>
        <v>115235.65136097594</v>
      </c>
      <c r="AE8" s="41">
        <f>'Exposure Inputs'!$E$65/AA8</f>
        <v>796653956.43049276</v>
      </c>
      <c r="AF8" s="41">
        <f>($G8*(1-('Exposure Inputs'!$C$19/100))*'Exposure Inputs'!$G$6*'Exposure Inputs'!$C$15)/('Exposure Inputs'!$G$8*'Exposure Inputs'!$G$11)</f>
        <v>2.2034779874213834E-4</v>
      </c>
      <c r="AG8" s="41">
        <f>($F8*(1-('Exposure Inputs'!$C$19)/100)*'Exposure Inputs'!$G$7*'Exposure Inputs'!$G$12*'Exposure Inputs'!$C$15)/('Exposure Inputs'!$G$8*'Exposure Inputs'!$G$13*'Exposure Inputs'!$C$16)</f>
        <v>1.3601964331868698E-8</v>
      </c>
      <c r="AH8" s="41">
        <f>($F8*(1-('Exposure Inputs'!$C$19)/100)*'Exposure Inputs'!$G$7*'Exposure Inputs'!$G$12*'Exposure Inputs'!$C$15)/('Exposure Inputs'!$G$8*'Exposure Inputs'!$C$14*'Exposure Inputs'!$C$16)</f>
        <v>8.7192079050440381E-10</v>
      </c>
      <c r="AI8" s="41">
        <f>($F8*(1-('Exposure Inputs'!$C$19)/100)*'Exposure Inputs'!$G$12*'Exposure Inputs'!$C$15)/('Exposure Inputs'!$C$14*'Exposure Inputs'!$C$16)</f>
        <v>9.4309799789251854E-8</v>
      </c>
      <c r="AJ8" s="41">
        <f>'Exposure Inputs'!$E$64/AF8</f>
        <v>90311.771270689846</v>
      </c>
      <c r="AK8" s="41">
        <f>'Exposure Inputs'!$E$65/AG8</f>
        <v>477872154.44837159</v>
      </c>
      <c r="AL8" s="41">
        <f>($G8*(1-('Exposure Inputs'!$C$19/100))*'Exposure Inputs'!$H$6*'Exposure Inputs'!$C$15)/('Exposure Inputs'!$H$8*'Exposure Inputs'!$H$11)</f>
        <v>2.7966901234567903E-4</v>
      </c>
      <c r="AM8" s="41">
        <f>($F8*(1-('Exposure Inputs'!$C$19)/100)*'Exposure Inputs'!$H$7*'Exposure Inputs'!$H$12*'Exposure Inputs'!$C$15)/('Exposure Inputs'!$H$8*'Exposure Inputs'!$H$13*'Exposure Inputs'!$C$16)</f>
        <v>1.7709284627092846E-8</v>
      </c>
      <c r="AN8" s="41">
        <f>($F8*(1-('Exposure Inputs'!$C$19)/100)*'Exposure Inputs'!$H$7*'Exposure Inputs'!$H$12*'Exposure Inputs'!$C$15)/('Exposure Inputs'!$H$8*'Exposure Inputs'!$C$14*'Exposure Inputs'!$C$16)</f>
        <v>1.1352105530187723E-9</v>
      </c>
      <c r="AO8" s="41">
        <f>($F8*(1-('Exposure Inputs'!$C$19)/100)*'Exposure Inputs'!$H$12*'Exposure Inputs'!$C$15)/('Exposure Inputs'!$C$14*'Exposure Inputs'!$C$16)</f>
        <v>9.4309799789251854E-8</v>
      </c>
      <c r="AP8" s="41">
        <f>'Exposure Inputs'!$E$64/AL8</f>
        <v>71155.541449129232</v>
      </c>
      <c r="AQ8" s="41">
        <f>'Exposure Inputs'!$E$65/AM8</f>
        <v>367039106.14525139</v>
      </c>
    </row>
    <row r="9" spans="1:43" s="39" customFormat="1" ht="51" x14ac:dyDescent="0.25">
      <c r="A9" s="48" t="s">
        <v>248</v>
      </c>
      <c r="B9" s="51">
        <v>4.17E-4</v>
      </c>
      <c r="C9" s="60">
        <v>17.100000000000001</v>
      </c>
      <c r="D9" s="60">
        <v>17.421199999999999</v>
      </c>
      <c r="E9" s="51">
        <v>0</v>
      </c>
      <c r="F9" s="66">
        <v>6.1600000000000001E-4</v>
      </c>
      <c r="G9" s="66">
        <v>1.15E-3</v>
      </c>
      <c r="H9" s="41">
        <f>($G9*(1-('Exposure Inputs'!$C$19/100))*'Exposure Inputs'!$C$6*1*'Exposure Inputs'!$C$15)/('Exposure Inputs'!$C$8*'Exposure Inputs'!$C$11)</f>
        <v>4.6278673245614037E-8</v>
      </c>
      <c r="I9" s="41">
        <f>($F9*(1-('Exposure Inputs'!$C$19)/100)*'Exposure Inputs'!$C$7*'Exposure Inputs'!$C$12*'Exposure Inputs'!$C$15*'Exposure Inputs'!$C$20)/('Exposure Inputs'!$C$8*'Exposure Inputs'!$C$13*'Exposure Inputs'!$C$16)</f>
        <v>6.4946844508531606E-9</v>
      </c>
      <c r="J9" s="41">
        <f>($F9*(1-('Exposure Inputs'!$C$19)/100)*'Exposure Inputs'!$C$7*'Exposure Inputs'!$C$12*'Exposure Inputs'!$C$15*'Exposure Inputs'!$C$20)/('Exposure Inputs'!$C$8*'Exposure Inputs'!$C$14*'Exposure Inputs'!$C$16)</f>
        <v>4.7461155602388486E-9</v>
      </c>
      <c r="K9" s="41">
        <f>($F9*(1-('Exposure Inputs'!$C$19)/100)*'Exposure Inputs'!$C$12*'Exposure Inputs'!$C$15)/('Exposure Inputs'!$C$14*'Exposure Inputs'!$C$16)</f>
        <v>1.2332982086406744E-9</v>
      </c>
      <c r="L9" s="41">
        <f>'Exposure Inputs'!$E$64/$H9</f>
        <v>430003684.29719359</v>
      </c>
      <c r="M9" s="41">
        <f>'Exposure Inputs'!$E$65/$I9</f>
        <v>1000818446.0980458</v>
      </c>
      <c r="N9" s="41">
        <f>($G9*(1-('Exposure Inputs'!$C$19/100))*'Exposure Inputs'!$D$6*1*'Exposure Inputs'!$C$15)/('Exposure Inputs'!$D$8*'Exposure Inputs'!$D$11)</f>
        <v>1.6237021276595746E-7</v>
      </c>
      <c r="O9" s="41">
        <f>($F9*(1-('Exposure Inputs'!$C$19)/100)*'Exposure Inputs'!$D$7*'Exposure Inputs'!$D$12*'Exposure Inputs'!$C$15*'Exposure Inputs'!$C$20)/('Exposure Inputs'!$D$8*'Exposure Inputs'!$D$13*'Exposure Inputs'!$C$16)</f>
        <v>1.6589449140192365E-8</v>
      </c>
      <c r="P9" s="41">
        <f>($F9*(1-('Exposure Inputs'!$C$19)/100)*'Exposure Inputs'!$D$7*'Exposure Inputs'!$D$12*'Exposure Inputs'!$C$15*'Exposure Inputs'!$C$20)/('Exposure Inputs'!$D$8*'Exposure Inputs'!$C$14*'Exposure Inputs'!$C$16)</f>
        <v>1.2123058987063651E-8</v>
      </c>
      <c r="Q9" s="41">
        <f>($F9*(1-('Exposure Inputs'!$C$19)/100)*'Exposure Inputs'!$D$12*'Exposure Inputs'!$C$15)/('Exposure Inputs'!$C$14*'Exposure Inputs'!$C$16)</f>
        <v>1.2332982086406744E-9</v>
      </c>
      <c r="R9" s="41">
        <f>'Exposure Inputs'!$E$64/N9</f>
        <v>122559425.53135727</v>
      </c>
      <c r="S9" s="41">
        <f>'Exposure Inputs'!$E$65/O9</f>
        <v>391815300.50036544</v>
      </c>
      <c r="T9" s="41">
        <f>($G9*(1-('Exposure Inputs'!$C$19/100))*'Exposure Inputs'!$E$6*'Exposure Inputs'!$C$15)/('Exposure Inputs'!$E$8*'Exposure Inputs'!$E$11)</f>
        <v>3.5560055865921792E-8</v>
      </c>
      <c r="U9" s="41">
        <f>($F9*(1-('Exposure Inputs'!$C$19)/100)*'Exposure Inputs'!$E$7*'Exposure Inputs'!$E$12*'Exposure Inputs'!$C$15)/('Exposure Inputs'!$E$8*'Exposure Inputs'!$E$13*'Exposure Inputs'!$C$16)</f>
        <v>1.0276880691819088E-11</v>
      </c>
      <c r="V9" s="41">
        <f>($F9*(1-('Exposure Inputs'!$C$19)/100)*'Exposure Inputs'!$E$7*'Exposure Inputs'!$E$12*'Exposure Inputs'!$C$15)/('Exposure Inputs'!$E$8*'Exposure Inputs'!$C$14*'Exposure Inputs'!$C$16)</f>
        <v>6.5877440332173645E-13</v>
      </c>
      <c r="W9" s="41">
        <f>($F9*(1-('Exposure Inputs'!$C$19)/100)*'Exposure Inputs'!$E$12*'Exposure Inputs'!$C$15)/('Exposure Inputs'!$C$14*'Exposure Inputs'!$C$16)</f>
        <v>1.0818405338953285E-10</v>
      </c>
      <c r="X9" s="41">
        <f>'Exposure Inputs'!$E$64/T9</f>
        <v>559616668.6304543</v>
      </c>
      <c r="Y9" s="41">
        <f>'Exposure Inputs'!$E$65/U9</f>
        <v>632487638508.28064</v>
      </c>
      <c r="Z9" s="41">
        <f>($G9*(1-('Exposure Inputs'!$C$19/100))*'Exposure Inputs'!$F$6*'Exposure Inputs'!$C$15)/('Exposure Inputs'!$F$8*'Exposure Inputs'!$F$11)</f>
        <v>3.5654049295774649E-8</v>
      </c>
      <c r="AA9" s="41">
        <f>($F9*(1-('Exposure Inputs'!$C$19)/100)*'Exposure Inputs'!$F$7*'Exposure Inputs'!$F$12*'Exposure Inputs'!$C$15)/('Exposure Inputs'!$F$8*'Exposure Inputs'!$F$13*'Exposure Inputs'!$C$16)</f>
        <v>9.3594443372564163E-12</v>
      </c>
      <c r="AB9" s="41">
        <f>($F9*(1-('Exposure Inputs'!$C$19)/100)*'Exposure Inputs'!$F$7*'Exposure Inputs'!$F$12*'Exposure Inputs'!$C$15)/('Exposure Inputs'!$F$8*'Exposure Inputs'!$C$14*'Exposure Inputs'!$C$16)</f>
        <v>5.9996438059336006E-13</v>
      </c>
      <c r="AC9" s="41">
        <f>($F9*(1-('Exposure Inputs'!$C$19)/100)*'Exposure Inputs'!$F$12*'Exposure Inputs'!$C$15)/('Exposure Inputs'!$C$14*'Exposure Inputs'!$C$16)</f>
        <v>1.0818405338953285E-10</v>
      </c>
      <c r="AD9" s="41">
        <f>'Exposure Inputs'!$E$64/Z9</f>
        <v>558141372.24403119</v>
      </c>
      <c r="AE9" s="41">
        <f>'Exposure Inputs'!$E$65/AA9</f>
        <v>694485673057.10156</v>
      </c>
      <c r="AF9" s="41">
        <f>($G9*(1-('Exposure Inputs'!$C$19/100))*'Exposure Inputs'!$G$6*'Exposure Inputs'!$C$15)/('Exposure Inputs'!$G$8*'Exposure Inputs'!$G$11)</f>
        <v>4.5493710691823898E-8</v>
      </c>
      <c r="AG9" s="41">
        <f>($F9*(1-('Exposure Inputs'!$C$19)/100)*'Exposure Inputs'!$G$7*'Exposure Inputs'!$G$12*'Exposure Inputs'!$C$15)/('Exposure Inputs'!$G$8*'Exposure Inputs'!$G$13*'Exposure Inputs'!$C$16)</f>
        <v>1.5602998190746962E-11</v>
      </c>
      <c r="AH9" s="41">
        <f>($F9*(1-('Exposure Inputs'!$C$19)/100)*'Exposure Inputs'!$G$7*'Exposure Inputs'!$G$12*'Exposure Inputs'!$C$15)/('Exposure Inputs'!$G$8*'Exposure Inputs'!$C$14*'Exposure Inputs'!$C$16)</f>
        <v>1.0001921917145489E-12</v>
      </c>
      <c r="AI9" s="41">
        <f>($F9*(1-('Exposure Inputs'!$C$19)/100)*'Exposure Inputs'!$G$12*'Exposure Inputs'!$C$15)/('Exposure Inputs'!$C$14*'Exposure Inputs'!$C$16)</f>
        <v>1.0818405338953285E-10</v>
      </c>
      <c r="AJ9" s="41">
        <f>'Exposure Inputs'!$E$64/AF9</f>
        <v>437423100.85021079</v>
      </c>
      <c r="AK9" s="41">
        <f>'Exposure Inputs'!$E$65/AG9</f>
        <v>416586602173.33691</v>
      </c>
      <c r="AL9" s="41">
        <f>($G9*(1-('Exposure Inputs'!$C$19/100))*'Exposure Inputs'!$H$6*'Exposure Inputs'!$C$15)/('Exposure Inputs'!$H$8*'Exposure Inputs'!$H$11)</f>
        <v>5.774135802469135E-8</v>
      </c>
      <c r="AM9" s="41">
        <f>($F9*(1-('Exposure Inputs'!$C$19)/100)*'Exposure Inputs'!$H$7*'Exposure Inputs'!$H$12*'Exposure Inputs'!$C$15)/('Exposure Inputs'!$H$8*'Exposure Inputs'!$H$13*'Exposure Inputs'!$C$16)</f>
        <v>2.0314561136478948E-11</v>
      </c>
      <c r="AN9" s="41">
        <f>($F9*(1-('Exposure Inputs'!$C$19)/100)*'Exposure Inputs'!$H$7*'Exposure Inputs'!$H$12*'Exposure Inputs'!$C$15)/('Exposure Inputs'!$H$8*'Exposure Inputs'!$C$14*'Exposure Inputs'!$C$16)</f>
        <v>1.3022154574665992E-12</v>
      </c>
      <c r="AO9" s="41">
        <f>($F9*(1-('Exposure Inputs'!$C$19)/100)*'Exposure Inputs'!$H$12*'Exposure Inputs'!$C$15)/('Exposure Inputs'!$C$14*'Exposure Inputs'!$C$16)</f>
        <v>1.0818405338953285E-10</v>
      </c>
      <c r="AP9" s="41">
        <f>'Exposure Inputs'!$E$64/AL9</f>
        <v>344640318.14926076</v>
      </c>
      <c r="AQ9" s="41">
        <f>'Exposure Inputs'!$E$65/AM9</f>
        <v>319967532467.53241</v>
      </c>
    </row>
    <row r="10" spans="1:43" s="39" customFormat="1" ht="51.75" customHeight="1" x14ac:dyDescent="0.25">
      <c r="A10" s="48" t="s">
        <v>249</v>
      </c>
      <c r="B10" s="49" t="s">
        <v>250</v>
      </c>
      <c r="C10" s="49" t="s">
        <v>250</v>
      </c>
      <c r="D10" s="49" t="s">
        <v>250</v>
      </c>
      <c r="E10" s="49" t="s">
        <v>250</v>
      </c>
      <c r="F10" s="55">
        <v>2.9</v>
      </c>
      <c r="G10" s="55">
        <v>2.9</v>
      </c>
      <c r="H10" s="42">
        <f>($G10*(1-('Exposure Inputs'!$C$19/100))*'Exposure Inputs'!$C$6*1*'Exposure Inputs'!$C$15)/('Exposure Inputs'!$C$8*'Exposure Inputs'!$C$11)</f>
        <v>1.1670274122807017E-4</v>
      </c>
      <c r="I10" s="41">
        <f>($F10*(1-('Exposure Inputs'!$C$19)/100)*'Exposure Inputs'!$C$7*'Exposure Inputs'!$C$12*'Exposure Inputs'!$C$15*'Exposure Inputs'!$C$20)/('Exposure Inputs'!$C$8*'Exposure Inputs'!$C$13*'Exposure Inputs'!$C$16)</f>
        <v>3.0575624849795723E-5</v>
      </c>
      <c r="J10" s="41">
        <f>($F10*(1-('Exposure Inputs'!$C$19)/100)*'Exposure Inputs'!$C$7*'Exposure Inputs'!$C$12*'Exposure Inputs'!$C$15*'Exposure Inputs'!$C$20)/('Exposure Inputs'!$C$8*'Exposure Inputs'!$C$14*'Exposure Inputs'!$C$16)</f>
        <v>2.2343725851773797E-5</v>
      </c>
      <c r="K10" s="41">
        <f>($F10*(1-('Exposure Inputs'!$C$19)/100)*'Exposure Inputs'!$C$12*'Exposure Inputs'!$C$15)/('Exposure Inputs'!$C$14*'Exposure Inputs'!$C$16)</f>
        <v>5.8061116965226543E-6</v>
      </c>
      <c r="L10" s="41">
        <f>'Exposure Inputs'!$E$64/$H10</f>
        <v>170518.70239371472</v>
      </c>
      <c r="M10" s="41">
        <f>'Exposure Inputs'!$E$65/$I10</f>
        <v>212587.64234358491</v>
      </c>
      <c r="N10" s="42">
        <f>($G10*(1-('Exposure Inputs'!$C$19/100))*'Exposure Inputs'!$D$6*1*'Exposure Inputs'!$C$15)/('Exposure Inputs'!$D$8*'Exposure Inputs'!$D$11)</f>
        <v>4.0945531914893626E-4</v>
      </c>
      <c r="O10" s="41">
        <f>($F10*(1-('Exposure Inputs'!$C$19)/100)*'Exposure Inputs'!$D$7*'Exposure Inputs'!$D$12*'Exposure Inputs'!$C$15*'Exposure Inputs'!$C$20)/('Exposure Inputs'!$D$8*'Exposure Inputs'!$D$13*'Exposure Inputs'!$C$16)</f>
        <v>7.8099679393762764E-5</v>
      </c>
      <c r="P10" s="41">
        <f>($F10*(1-('Exposure Inputs'!$C$19)/100)*'Exposure Inputs'!$D$7*'Exposure Inputs'!$D$12*'Exposure Inputs'!$C$15*'Exposure Inputs'!$C$20)/('Exposure Inputs'!$D$8*'Exposure Inputs'!$C$14*'Exposure Inputs'!$C$16)</f>
        <v>5.7072842633903556E-5</v>
      </c>
      <c r="Q10" s="41">
        <f>($F10*(1-('Exposure Inputs'!$C$19)/100)*'Exposure Inputs'!$D$12*'Exposure Inputs'!$C$15)/('Exposure Inputs'!$C$14*'Exposure Inputs'!$C$16)</f>
        <v>5.8061116965226543E-6</v>
      </c>
      <c r="R10" s="41">
        <f>'Exposure Inputs'!$E$64/N10</f>
        <v>48601.151503814086</v>
      </c>
      <c r="S10" s="41">
        <f>'Exposure Inputs'!$E$65/O10</f>
        <v>83226.974175250027</v>
      </c>
      <c r="T10" s="42">
        <f>($G10*(1-('Exposure Inputs'!$C$19/100))*'Exposure Inputs'!$E$6*'Exposure Inputs'!$C$15)/('Exposure Inputs'!$E$8*'Exposure Inputs'!$E$11)</f>
        <v>8.9673184357541894E-5</v>
      </c>
      <c r="U10" s="41">
        <f>($F10*(1-('Exposure Inputs'!$C$19)/100)*'Exposure Inputs'!$E$7*'Exposure Inputs'!$E$12*'Exposure Inputs'!$C$15)/('Exposure Inputs'!$E$8*'Exposure Inputs'!$E$13*'Exposure Inputs'!$C$16)</f>
        <v>4.8381418841356089E-8</v>
      </c>
      <c r="V10" s="41">
        <f>($F10*(1-('Exposure Inputs'!$C$19)/100)*'Exposure Inputs'!$E$7*'Exposure Inputs'!$E$12*'Exposure Inputs'!$C$15)/('Exposure Inputs'!$E$8*'Exposure Inputs'!$C$14*'Exposure Inputs'!$C$16)</f>
        <v>3.1013730026510317E-9</v>
      </c>
      <c r="W10" s="41">
        <f>($F10*(1-('Exposure Inputs'!$C$19)/100)*'Exposure Inputs'!$E$12*'Exposure Inputs'!$C$15)/('Exposure Inputs'!$C$14*'Exposure Inputs'!$C$16)</f>
        <v>5.0930804355461896E-7</v>
      </c>
      <c r="X10" s="41">
        <f>'Exposure Inputs'!$E$64/T10</f>
        <v>221916.95480173192</v>
      </c>
      <c r="Y10" s="41">
        <f>'Exposure Inputs'!$E$65/U10</f>
        <v>134349098.38658652</v>
      </c>
      <c r="Z10" s="42">
        <f>($G10*(1-('Exposure Inputs'!$C$19/100))*'Exposure Inputs'!$F$6*'Exposure Inputs'!$C$15)/('Exposure Inputs'!$F$8*'Exposure Inputs'!$F$11)</f>
        <v>8.9910211267605621E-5</v>
      </c>
      <c r="AA10" s="41">
        <f>($F10*(1-('Exposure Inputs'!$C$19)/100)*'Exposure Inputs'!$F$7*'Exposure Inputs'!$F$12*'Exposure Inputs'!$C$15)/('Exposure Inputs'!$F$8*'Exposure Inputs'!$F$13*'Exposure Inputs'!$C$16)</f>
        <v>4.4062319120200659E-8</v>
      </c>
      <c r="AB10" s="41">
        <f>($F10*(1-('Exposure Inputs'!$C$19)/100)*'Exposure Inputs'!$F$7*'Exposure Inputs'!$F$12*'Exposure Inputs'!$C$15)/('Exposure Inputs'!$F$8*'Exposure Inputs'!$C$14*'Exposure Inputs'!$C$16)</f>
        <v>2.8245076359102991E-9</v>
      </c>
      <c r="AC10" s="41">
        <f>($F10*(1-('Exposure Inputs'!$C$19)/100)*'Exposure Inputs'!$F$12*'Exposure Inputs'!$C$15)/('Exposure Inputs'!$C$14*'Exposure Inputs'!$C$16)</f>
        <v>5.0930804355461896E-7</v>
      </c>
      <c r="AD10" s="41">
        <f>'Exposure Inputs'!$E$64/Z10</f>
        <v>221331.9234760814</v>
      </c>
      <c r="AE10" s="41">
        <f>'Exposure Inputs'!$E$65/AA10</f>
        <v>147518336.07006019</v>
      </c>
      <c r="AF10" s="42">
        <f>($G10*(1-('Exposure Inputs'!$C$19/100))*'Exposure Inputs'!$G$6*'Exposure Inputs'!$C$15)/('Exposure Inputs'!$G$8*'Exposure Inputs'!$G$11)</f>
        <v>1.1472327044025158E-4</v>
      </c>
      <c r="AG10" s="41">
        <f>($F10*(1-('Exposure Inputs'!$C$19)/100)*'Exposure Inputs'!$G$7*'Exposure Inputs'!$G$12*'Exposure Inputs'!$C$15)/('Exposure Inputs'!$G$8*'Exposure Inputs'!$G$13*'Exposure Inputs'!$C$16)</f>
        <v>7.3455673300594468E-8</v>
      </c>
      <c r="AH10" s="41">
        <f>($F10*(1-('Exposure Inputs'!$C$19)/100)*'Exposure Inputs'!$G$7*'Exposure Inputs'!$G$12*'Exposure Inputs'!$C$15)/('Exposure Inputs'!$G$8*'Exposure Inputs'!$C$14*'Exposure Inputs'!$C$16)</f>
        <v>4.7086970064483638E-9</v>
      </c>
      <c r="AI10" s="41">
        <f>($F10*(1-('Exposure Inputs'!$C$19)/100)*'Exposure Inputs'!$G$12*'Exposure Inputs'!$C$15)/('Exposure Inputs'!$C$14*'Exposure Inputs'!$C$16)</f>
        <v>5.0930804355461896E-7</v>
      </c>
      <c r="AJ10" s="41">
        <f>'Exposure Inputs'!$E$64/AF10</f>
        <v>173460.88481991115</v>
      </c>
      <c r="AK10" s="41">
        <f>'Exposure Inputs'!$E$65/AG10</f>
        <v>88488740.323715702</v>
      </c>
      <c r="AL10" s="42">
        <f>($G10*(1-('Exposure Inputs'!$C$19/100))*'Exposure Inputs'!$H$6*'Exposure Inputs'!$C$15)/('Exposure Inputs'!$H$8*'Exposure Inputs'!$H$11)</f>
        <v>1.4560864197530861E-4</v>
      </c>
      <c r="AM10" s="41">
        <f>($F10*(1-('Exposure Inputs'!$C$19)/100)*'Exposure Inputs'!$H$7*'Exposure Inputs'!$H$12*'Exposure Inputs'!$C$15)/('Exposure Inputs'!$H$8*'Exposure Inputs'!$H$13*'Exposure Inputs'!$C$16)</f>
        <v>9.5636732623033991E-8</v>
      </c>
      <c r="AN10" s="41">
        <f>($F10*(1-('Exposure Inputs'!$C$19)/100)*'Exposure Inputs'!$H$7*'Exposure Inputs'!$H$12*'Exposure Inputs'!$C$15)/('Exposure Inputs'!$H$8*'Exposure Inputs'!$C$14*'Exposure Inputs'!$C$16)</f>
        <v>6.1305597835278197E-9</v>
      </c>
      <c r="AO10" s="41">
        <f>($F10*(1-('Exposure Inputs'!$C$19)/100)*'Exposure Inputs'!$H$12*'Exposure Inputs'!$C$15)/('Exposure Inputs'!$C$14*'Exposure Inputs'!$C$16)</f>
        <v>5.0930804355461896E-7</v>
      </c>
      <c r="AP10" s="41">
        <f>'Exposure Inputs'!$E$64/AL10</f>
        <v>136667.71236953445</v>
      </c>
      <c r="AQ10" s="41">
        <f>'Exposure Inputs'!$E$65/AM10</f>
        <v>67965517.241379306</v>
      </c>
    </row>
    <row r="11" spans="1:43" s="39" customFormat="1" ht="76.5" x14ac:dyDescent="0.2">
      <c r="A11" s="62" t="s">
        <v>251</v>
      </c>
      <c r="F11" s="39">
        <v>2.4500000000000001E-2</v>
      </c>
      <c r="G11" s="39">
        <v>2.4500000000000001E-2</v>
      </c>
      <c r="H11" s="42">
        <f>($G11*(1-('Exposure Inputs'!$C$19/100))*'Exposure Inputs'!$C$6*1*'Exposure Inputs'!$C$15)/('Exposure Inputs'!$C$8*'Exposure Inputs'!$C$11)</f>
        <v>9.8593695175438602E-7</v>
      </c>
      <c r="I11" s="41">
        <f>($F11*(1-('Exposure Inputs'!$C$19)/100)*'Exposure Inputs'!$C$7*'Exposure Inputs'!$C$12*'Exposure Inputs'!$C$15*'Exposure Inputs'!$C$20)/('Exposure Inputs'!$C$8*'Exposure Inputs'!$C$13*'Exposure Inputs'!$C$16)</f>
        <v>2.5831131338620524E-7</v>
      </c>
      <c r="J11" s="41">
        <f>($F11*(1-('Exposure Inputs'!$C$19)/100)*'Exposure Inputs'!$C$7*'Exposure Inputs'!$C$12*'Exposure Inputs'!$C$15*'Exposure Inputs'!$C$20)/('Exposure Inputs'!$C$8*'Exposure Inputs'!$C$14*'Exposure Inputs'!$C$16)</f>
        <v>1.8876595978222693E-7</v>
      </c>
      <c r="K11" s="41">
        <f>($F11*(1-('Exposure Inputs'!$C$19)/100)*'Exposure Inputs'!$C$12*'Exposure Inputs'!$C$15)/('Exposure Inputs'!$C$14*'Exposure Inputs'!$C$16)</f>
        <v>4.905163329820865E-8</v>
      </c>
      <c r="L11" s="41">
        <f>'Exposure Inputs'!$E$64/$H11</f>
        <v>20183846.405786637</v>
      </c>
      <c r="M11" s="41">
        <f>'Exposure Inputs'!$E$65/$I11</f>
        <v>25163435.216179438</v>
      </c>
      <c r="N11" s="42">
        <f>($G11*(1-('Exposure Inputs'!$C$19/100))*'Exposure Inputs'!$D$6*1*'Exposure Inputs'!$C$15)/('Exposure Inputs'!$D$8*'Exposure Inputs'!$D$11)</f>
        <v>3.4591914893617028E-6</v>
      </c>
      <c r="O11" s="41">
        <f>($F11*(1-('Exposure Inputs'!$C$19)/100)*'Exposure Inputs'!$D$7*'Exposure Inputs'!$D$12*'Exposure Inputs'!$C$15*'Exposure Inputs'!$C$20)/('Exposure Inputs'!$D$8*'Exposure Inputs'!$D$13*'Exposure Inputs'!$C$16)</f>
        <v>6.5980763625765088E-7</v>
      </c>
      <c r="P11" s="41">
        <f>($F11*(1-('Exposure Inputs'!$C$19)/100)*'Exposure Inputs'!$D$7*'Exposure Inputs'!$D$12*'Exposure Inputs'!$C$15*'Exposure Inputs'!$C$20)/('Exposure Inputs'!$D$8*'Exposure Inputs'!$C$14*'Exposure Inputs'!$C$16)</f>
        <v>4.8216711880366799E-7</v>
      </c>
      <c r="Q11" s="41">
        <f>($F11*(1-('Exposure Inputs'!$C$19)/100)*'Exposure Inputs'!$D$12*'Exposure Inputs'!$C$15)/('Exposure Inputs'!$C$14*'Exposure Inputs'!$C$16)</f>
        <v>4.905163329820865E-8</v>
      </c>
      <c r="R11" s="41">
        <f>'Exposure Inputs'!$E$64/N11</f>
        <v>5752789.3616759526</v>
      </c>
      <c r="S11" s="41">
        <f>'Exposure Inputs'!$E$65/O11</f>
        <v>9851356.1268663295</v>
      </c>
      <c r="AL11" s="42">
        <f>($G11*(1-('Exposure Inputs'!$C$19/100))*'Exposure Inputs'!$H$6*'Exposure Inputs'!$C$15)/('Exposure Inputs'!$H$8*'Exposure Inputs'!$H$11)</f>
        <v>1.2301419753086419E-6</v>
      </c>
      <c r="AM11" s="41">
        <f>($F11*(1-('Exposure Inputs'!$C$19)/100)*'Exposure Inputs'!$H$7*'Exposure Inputs'!$H$12*'Exposure Inputs'!$C$15)/('Exposure Inputs'!$H$8*'Exposure Inputs'!$H$13*'Exposure Inputs'!$C$16)</f>
        <v>8.0796549974632176E-10</v>
      </c>
      <c r="AN11" s="41">
        <f>($F11*(1-('Exposure Inputs'!$C$19)/100)*'Exposure Inputs'!$H$7*'Exposure Inputs'!$H$12*'Exposure Inputs'!$C$15)/('Exposure Inputs'!$H$8*'Exposure Inputs'!$C$14*'Exposure Inputs'!$C$16)</f>
        <v>5.1792660240148827E-11</v>
      </c>
      <c r="AO11" s="41">
        <f>($F11*(1-('Exposure Inputs'!$C$19)/100)*'Exposure Inputs'!$H$12*'Exposure Inputs'!$C$15)/('Exposure Inputs'!$C$14*'Exposure Inputs'!$C$16)</f>
        <v>4.3027748507200557E-9</v>
      </c>
      <c r="AP11" s="41">
        <f>'Exposure Inputs'!$E$64/AL11</f>
        <v>16176994.525373464</v>
      </c>
      <c r="AQ11" s="41">
        <f>'Exposure Inputs'!$E$65/AM11</f>
        <v>8044897959.1836729</v>
      </c>
    </row>
    <row r="12" spans="1:43" s="39" customFormat="1" ht="12.75" x14ac:dyDescent="0.25"/>
    <row r="13" spans="1:43" s="39" customFormat="1" ht="12.75" x14ac:dyDescent="0.25"/>
    <row r="14" spans="1:43" s="39" customFormat="1" ht="12.75" x14ac:dyDescent="0.25"/>
    <row r="15" spans="1:43" s="39" customFormat="1" ht="12.75" x14ac:dyDescent="0.25"/>
    <row r="16" spans="1:43" s="39" customFormat="1" ht="12.75" x14ac:dyDescent="0.25"/>
    <row r="17" s="39" customFormat="1" ht="12.75" x14ac:dyDescent="0.25"/>
    <row r="18" s="39" customFormat="1" ht="12.75" x14ac:dyDescent="0.25"/>
    <row r="19" s="39" customFormat="1" ht="12.75" x14ac:dyDescent="0.25"/>
    <row r="20" s="39" customFormat="1" ht="12.75" x14ac:dyDescent="0.25"/>
    <row r="21" s="39" customFormat="1" ht="12.75" x14ac:dyDescent="0.25"/>
    <row r="22" s="39" customFormat="1" ht="12.75" x14ac:dyDescent="0.25"/>
    <row r="23" s="39" customFormat="1" ht="12.75" x14ac:dyDescent="0.25"/>
    <row r="24" s="39" customFormat="1" ht="12.75" x14ac:dyDescent="0.25"/>
    <row r="25" s="39" customFormat="1" ht="12.75" x14ac:dyDescent="0.25"/>
    <row r="26" s="39" customFormat="1" ht="12.75" x14ac:dyDescent="0.25"/>
    <row r="27" s="39" customFormat="1" ht="12.75" x14ac:dyDescent="0.25"/>
    <row r="28" s="39" customFormat="1" ht="12.75" x14ac:dyDescent="0.25"/>
    <row r="29" s="39" customFormat="1" ht="12.75" x14ac:dyDescent="0.25"/>
    <row r="30" s="39" customFormat="1" ht="12.75" x14ac:dyDescent="0.25"/>
    <row r="31" s="39" customFormat="1" ht="12.75" x14ac:dyDescent="0.25"/>
    <row r="32" s="39" customFormat="1" ht="12.75" x14ac:dyDescent="0.25"/>
    <row r="33" s="39" customFormat="1" ht="12.75" x14ac:dyDescent="0.25"/>
    <row r="34" s="39" customFormat="1" ht="12.75" x14ac:dyDescent="0.25"/>
    <row r="35" s="39" customFormat="1" ht="12.75" x14ac:dyDescent="0.25"/>
    <row r="36" s="39" customFormat="1" ht="12.75" x14ac:dyDescent="0.25"/>
    <row r="37" s="39" customFormat="1" ht="12.75" x14ac:dyDescent="0.25"/>
    <row r="38" s="39" customFormat="1" ht="12.75" x14ac:dyDescent="0.25"/>
    <row r="39" s="39" customFormat="1" ht="12.75" x14ac:dyDescent="0.25"/>
    <row r="40" s="39" customFormat="1" ht="12.75" x14ac:dyDescent="0.25"/>
    <row r="41" s="39" customFormat="1" ht="12.75" x14ac:dyDescent="0.25"/>
    <row r="42" s="39" customFormat="1" ht="12.75" x14ac:dyDescent="0.25"/>
    <row r="43" s="39" customFormat="1" ht="12.75" x14ac:dyDescent="0.25"/>
    <row r="44" s="39" customFormat="1" ht="12.75" x14ac:dyDescent="0.25"/>
    <row r="45" s="39" customFormat="1" ht="12.75" x14ac:dyDescent="0.25"/>
    <row r="46" s="39" customFormat="1" ht="12.75" x14ac:dyDescent="0.25"/>
    <row r="47" s="39" customFormat="1" ht="12.75" x14ac:dyDescent="0.25"/>
    <row r="48" s="39" customFormat="1" ht="12.75" x14ac:dyDescent="0.25"/>
    <row r="49" s="39" customFormat="1" ht="12.75" x14ac:dyDescent="0.25"/>
    <row r="50" s="39" customFormat="1" ht="12.75" x14ac:dyDescent="0.25"/>
    <row r="51" s="39" customFormat="1" ht="12.75" x14ac:dyDescent="0.25"/>
    <row r="52" s="39" customFormat="1" ht="12.75" x14ac:dyDescent="0.25"/>
    <row r="53" s="39" customFormat="1" ht="12.75" x14ac:dyDescent="0.25"/>
    <row r="54" s="39" customFormat="1" ht="12.75" x14ac:dyDescent="0.25"/>
    <row r="55" s="39" customFormat="1" ht="12.75" x14ac:dyDescent="0.25"/>
    <row r="56" s="39" customFormat="1" ht="12.75" x14ac:dyDescent="0.25"/>
    <row r="57" s="39" customFormat="1" ht="12.75" x14ac:dyDescent="0.25"/>
    <row r="58" s="39" customFormat="1" ht="12.75" x14ac:dyDescent="0.25"/>
    <row r="59" s="39" customFormat="1" ht="12.75" x14ac:dyDescent="0.25"/>
    <row r="60" s="39" customFormat="1" ht="12.75" x14ac:dyDescent="0.25"/>
    <row r="61" s="39" customFormat="1" ht="12.75" x14ac:dyDescent="0.25"/>
    <row r="62" s="39" customFormat="1" ht="12.75" x14ac:dyDescent="0.25"/>
    <row r="63" s="39" customFormat="1" ht="12.75" x14ac:dyDescent="0.25"/>
    <row r="64" s="39" customFormat="1" ht="12.75" x14ac:dyDescent="0.25"/>
    <row r="65" s="39" customFormat="1" ht="12.75" x14ac:dyDescent="0.25"/>
    <row r="66" s="39" customFormat="1" ht="12.75" x14ac:dyDescent="0.25"/>
    <row r="67" s="39" customFormat="1" ht="12.75" x14ac:dyDescent="0.25"/>
    <row r="68" s="39" customFormat="1" ht="12.75" x14ac:dyDescent="0.25"/>
    <row r="69" s="39" customFormat="1" ht="12.75" x14ac:dyDescent="0.25"/>
    <row r="70" s="39" customFormat="1" ht="12.75" x14ac:dyDescent="0.25"/>
    <row r="71" s="39" customFormat="1" ht="12.75" x14ac:dyDescent="0.25"/>
    <row r="72" s="39" customFormat="1" ht="12.75" x14ac:dyDescent="0.25"/>
    <row r="73" s="39" customFormat="1" ht="12.75" x14ac:dyDescent="0.25"/>
    <row r="74" s="39" customFormat="1" ht="12.75" x14ac:dyDescent="0.25"/>
    <row r="75" s="39" customFormat="1" ht="12.75" x14ac:dyDescent="0.25"/>
    <row r="76" s="39" customFormat="1" ht="12.75" x14ac:dyDescent="0.25"/>
    <row r="77" s="39" customFormat="1" ht="12.75" x14ac:dyDescent="0.25"/>
    <row r="78" s="39" customFormat="1" ht="12.75" x14ac:dyDescent="0.25"/>
    <row r="79" s="39" customFormat="1" ht="12.75" x14ac:dyDescent="0.25"/>
    <row r="80" s="39" customFormat="1" ht="12.75" x14ac:dyDescent="0.25"/>
    <row r="81" s="39" customFormat="1" ht="12.75" x14ac:dyDescent="0.25"/>
    <row r="82" s="39" customFormat="1" ht="12.75" x14ac:dyDescent="0.25"/>
    <row r="83" s="39" customFormat="1" ht="12.75" x14ac:dyDescent="0.25"/>
    <row r="84" s="39" customFormat="1" ht="12.75" x14ac:dyDescent="0.25"/>
    <row r="85" s="39" customFormat="1" ht="12.75" x14ac:dyDescent="0.25"/>
    <row r="86" s="39" customFormat="1" ht="12.75" x14ac:dyDescent="0.25"/>
    <row r="87" s="39" customFormat="1" ht="12.75" x14ac:dyDescent="0.25"/>
    <row r="88" s="39" customFormat="1" ht="12.75" x14ac:dyDescent="0.25"/>
    <row r="89" s="39" customFormat="1" ht="12.75" x14ac:dyDescent="0.25"/>
    <row r="90" s="39" customFormat="1" ht="12.75" x14ac:dyDescent="0.25"/>
    <row r="91" s="39" customFormat="1" ht="12.75" x14ac:dyDescent="0.25"/>
    <row r="92" s="39" customFormat="1" ht="12.75" x14ac:dyDescent="0.25"/>
    <row r="93" s="39" customFormat="1" ht="12.75" x14ac:dyDescent="0.25"/>
    <row r="94" s="39" customFormat="1" ht="12.75" x14ac:dyDescent="0.25"/>
    <row r="95" s="39" customFormat="1" ht="12.75" x14ac:dyDescent="0.25"/>
    <row r="96" s="39" customFormat="1" ht="12.75" x14ac:dyDescent="0.25"/>
    <row r="97" s="39" customFormat="1" ht="12.75" x14ac:dyDescent="0.25"/>
    <row r="98" s="39" customFormat="1" ht="12.75" x14ac:dyDescent="0.25"/>
    <row r="99" s="39" customFormat="1" ht="12.75" x14ac:dyDescent="0.25"/>
    <row r="100" s="39" customFormat="1" ht="12.75" x14ac:dyDescent="0.25"/>
    <row r="101" s="39" customFormat="1" ht="12.75" x14ac:dyDescent="0.25"/>
    <row r="102" s="39" customFormat="1" ht="12.75" x14ac:dyDescent="0.25"/>
    <row r="103" s="39" customFormat="1" ht="12.75" x14ac:dyDescent="0.25"/>
    <row r="104" s="39" customFormat="1" ht="12.75" x14ac:dyDescent="0.25"/>
    <row r="105" s="39" customFormat="1" ht="12.75" x14ac:dyDescent="0.25"/>
    <row r="106" s="39" customFormat="1" ht="12.75" x14ac:dyDescent="0.25"/>
    <row r="107" s="39" customFormat="1" ht="12.75" x14ac:dyDescent="0.25"/>
    <row r="108" s="39" customFormat="1" ht="12.75" x14ac:dyDescent="0.25"/>
    <row r="109" s="39" customFormat="1" ht="12.75" x14ac:dyDescent="0.25"/>
    <row r="110" s="39" customFormat="1" ht="12.75" x14ac:dyDescent="0.25"/>
    <row r="111" s="39" customFormat="1" ht="12.75" x14ac:dyDescent="0.25"/>
    <row r="112" s="39" customFormat="1" ht="12.75" x14ac:dyDescent="0.25"/>
    <row r="113" s="39" customFormat="1" ht="12.75" x14ac:dyDescent="0.25"/>
    <row r="114" s="39" customFormat="1" ht="12.75" x14ac:dyDescent="0.25"/>
    <row r="115" s="39" customFormat="1" ht="12.75" x14ac:dyDescent="0.25"/>
    <row r="116" s="39" customFormat="1" ht="12.75" x14ac:dyDescent="0.25"/>
    <row r="117" s="39" customFormat="1" ht="12.75" x14ac:dyDescent="0.25"/>
    <row r="118" s="39" customFormat="1" ht="12.75" x14ac:dyDescent="0.25"/>
    <row r="119" s="39" customFormat="1" ht="12.75" x14ac:dyDescent="0.25"/>
    <row r="120" s="39" customFormat="1" ht="12.75" x14ac:dyDescent="0.25"/>
    <row r="121" s="39" customFormat="1" ht="12.75" x14ac:dyDescent="0.25"/>
    <row r="122" s="39" customFormat="1" ht="12.75" x14ac:dyDescent="0.25"/>
    <row r="123" s="39" customFormat="1" ht="12.75" x14ac:dyDescent="0.25"/>
    <row r="124" s="39" customFormat="1" ht="12.75" x14ac:dyDescent="0.25"/>
    <row r="125" s="39" customFormat="1" ht="12.75" x14ac:dyDescent="0.25"/>
    <row r="126" s="39" customFormat="1" ht="12.75" x14ac:dyDescent="0.25"/>
    <row r="127" s="39" customFormat="1" ht="12.75" x14ac:dyDescent="0.25"/>
    <row r="128" s="39" customFormat="1" ht="12.75" x14ac:dyDescent="0.25"/>
    <row r="129" s="39" customFormat="1" ht="12.75" x14ac:dyDescent="0.25"/>
    <row r="130" s="39" customFormat="1" ht="12.75" x14ac:dyDescent="0.25"/>
    <row r="131" s="39" customFormat="1" ht="12.75" x14ac:dyDescent="0.25"/>
    <row r="132" s="39" customFormat="1" ht="12.75" x14ac:dyDescent="0.25"/>
    <row r="133" s="39" customFormat="1" ht="12.75" x14ac:dyDescent="0.25"/>
    <row r="134" s="39" customFormat="1" ht="12.75" x14ac:dyDescent="0.25"/>
    <row r="135" s="39" customFormat="1" ht="12.75" x14ac:dyDescent="0.25"/>
    <row r="136" s="39" customFormat="1" ht="12.75" x14ac:dyDescent="0.25"/>
    <row r="137" s="39" customFormat="1" ht="12.75" x14ac:dyDescent="0.25"/>
    <row r="138" s="39" customFormat="1" ht="12.75" x14ac:dyDescent="0.25"/>
    <row r="139" s="39" customFormat="1" ht="12.75" x14ac:dyDescent="0.25"/>
    <row r="140" s="39" customFormat="1" ht="12.75" x14ac:dyDescent="0.25"/>
    <row r="141" s="39" customFormat="1" ht="12.75" x14ac:dyDescent="0.25"/>
    <row r="142" s="39" customFormat="1" ht="12.75" x14ac:dyDescent="0.25"/>
    <row r="143" s="39" customFormat="1" ht="12.75" x14ac:dyDescent="0.25"/>
    <row r="144" s="39" customFormat="1" ht="12.75" x14ac:dyDescent="0.25"/>
    <row r="145" s="39" customFormat="1" ht="12.75" x14ac:dyDescent="0.25"/>
    <row r="146" s="39" customFormat="1" ht="12.75" x14ac:dyDescent="0.25"/>
    <row r="147" s="39" customFormat="1" ht="12.75" x14ac:dyDescent="0.25"/>
    <row r="148" s="39" customFormat="1" ht="12.75" x14ac:dyDescent="0.25"/>
    <row r="149" s="39" customFormat="1" ht="12.75" x14ac:dyDescent="0.25"/>
    <row r="150" s="39" customFormat="1" ht="12.75" x14ac:dyDescent="0.25"/>
    <row r="151" s="39" customFormat="1" ht="12.75" x14ac:dyDescent="0.25"/>
    <row r="152" s="39" customFormat="1" ht="12.75" x14ac:dyDescent="0.25"/>
    <row r="153" s="39" customFormat="1" ht="12.75" x14ac:dyDescent="0.25"/>
    <row r="154" s="39" customFormat="1" ht="12.75" x14ac:dyDescent="0.25"/>
    <row r="155" s="39" customFormat="1" ht="12.75" x14ac:dyDescent="0.25"/>
    <row r="156" s="39" customFormat="1" ht="12.75" x14ac:dyDescent="0.25"/>
    <row r="157" s="39" customFormat="1" ht="12.75" x14ac:dyDescent="0.25"/>
    <row r="158" s="39" customFormat="1" ht="12.75" x14ac:dyDescent="0.25"/>
    <row r="159" s="39" customFormat="1" ht="12.75" x14ac:dyDescent="0.25"/>
    <row r="160" s="39" customFormat="1" ht="12.75" x14ac:dyDescent="0.25"/>
    <row r="161" s="39" customFormat="1" ht="12.75" x14ac:dyDescent="0.25"/>
    <row r="162" s="39" customFormat="1" ht="12.75" x14ac:dyDescent="0.25"/>
    <row r="163" s="39" customFormat="1" ht="12.75" x14ac:dyDescent="0.25"/>
    <row r="164" s="39" customFormat="1" ht="12.75" x14ac:dyDescent="0.25"/>
    <row r="165" s="39" customFormat="1" ht="12.75" x14ac:dyDescent="0.25"/>
    <row r="166" s="39" customFormat="1" ht="12.75" x14ac:dyDescent="0.25"/>
    <row r="167" s="39" customFormat="1" ht="12.75" x14ac:dyDescent="0.25"/>
    <row r="168" s="39" customFormat="1" ht="12.75" x14ac:dyDescent="0.25"/>
    <row r="169" s="39" customFormat="1" ht="12.75" x14ac:dyDescent="0.25"/>
    <row r="170" s="39" customFormat="1" ht="12.75" x14ac:dyDescent="0.25"/>
    <row r="171" s="39" customFormat="1" ht="12.75" x14ac:dyDescent="0.25"/>
    <row r="172" s="39" customFormat="1" ht="12.75" x14ac:dyDescent="0.25"/>
    <row r="173" s="39" customFormat="1" ht="12.75" x14ac:dyDescent="0.25"/>
    <row r="174" s="39" customFormat="1" ht="12.75" x14ac:dyDescent="0.25"/>
    <row r="175" s="39" customFormat="1" ht="12.75" x14ac:dyDescent="0.25"/>
    <row r="176" s="39" customFormat="1" ht="12.75" x14ac:dyDescent="0.25"/>
    <row r="177" s="39" customFormat="1" ht="12.75" x14ac:dyDescent="0.25"/>
    <row r="178" s="39" customFormat="1" ht="12.75" x14ac:dyDescent="0.25"/>
    <row r="179" s="39" customFormat="1" ht="12.75" x14ac:dyDescent="0.25"/>
    <row r="180" s="39" customFormat="1" ht="12.75" x14ac:dyDescent="0.25"/>
    <row r="181" s="39" customFormat="1" ht="12.75" x14ac:dyDescent="0.25"/>
    <row r="182" s="39" customFormat="1" ht="12.75" x14ac:dyDescent="0.25"/>
    <row r="183" s="39" customFormat="1" ht="12.75" x14ac:dyDescent="0.25"/>
    <row r="184" s="39" customFormat="1" ht="12.75" x14ac:dyDescent="0.25"/>
    <row r="185" s="39" customFormat="1" ht="12.75" x14ac:dyDescent="0.25"/>
    <row r="186" s="39" customFormat="1" ht="12.75" x14ac:dyDescent="0.25"/>
    <row r="187" s="39" customFormat="1" ht="12.75" x14ac:dyDescent="0.25"/>
    <row r="188" s="39" customFormat="1" ht="12.75" x14ac:dyDescent="0.25"/>
    <row r="189" s="39" customFormat="1" ht="12.75" x14ac:dyDescent="0.25"/>
    <row r="190" s="39" customFormat="1" ht="12.75" x14ac:dyDescent="0.25"/>
    <row r="191" s="39" customFormat="1" ht="12.75" x14ac:dyDescent="0.25"/>
    <row r="192" s="39" customFormat="1" ht="12.75" x14ac:dyDescent="0.25"/>
    <row r="193" s="39" customFormat="1" ht="12.75" x14ac:dyDescent="0.25"/>
    <row r="194" s="39" customFormat="1" ht="12.75" x14ac:dyDescent="0.25"/>
    <row r="195" s="39" customFormat="1" ht="12.75" x14ac:dyDescent="0.25"/>
    <row r="196" s="39" customFormat="1" ht="12.75" x14ac:dyDescent="0.25"/>
    <row r="197" s="39" customFormat="1" ht="12.75" x14ac:dyDescent="0.25"/>
    <row r="198" s="39" customFormat="1" ht="12.75" x14ac:dyDescent="0.25"/>
    <row r="199" s="39" customFormat="1" ht="12.75" x14ac:dyDescent="0.25"/>
    <row r="200" s="39" customFormat="1" ht="12.75" x14ac:dyDescent="0.25"/>
    <row r="201" s="39" customFormat="1" ht="12.75" x14ac:dyDescent="0.25"/>
    <row r="202" s="39" customFormat="1" ht="12.75" x14ac:dyDescent="0.25"/>
    <row r="203" s="39" customFormat="1" ht="12.75" x14ac:dyDescent="0.25"/>
    <row r="204" s="39" customFormat="1" ht="12.75" x14ac:dyDescent="0.25"/>
    <row r="205" s="39" customFormat="1" ht="12.75" x14ac:dyDescent="0.25"/>
    <row r="206" s="39" customFormat="1" ht="12.75" x14ac:dyDescent="0.25"/>
    <row r="207" s="39" customFormat="1" ht="12.75" x14ac:dyDescent="0.25"/>
    <row r="208" s="39" customFormat="1" ht="12.75" x14ac:dyDescent="0.25"/>
    <row r="209" s="39" customFormat="1" ht="12.75" x14ac:dyDescent="0.25"/>
    <row r="210" s="39" customFormat="1" ht="12.75" x14ac:dyDescent="0.25"/>
    <row r="211" s="39" customFormat="1" ht="12.75" x14ac:dyDescent="0.25"/>
    <row r="212" s="39" customFormat="1" ht="12.75" x14ac:dyDescent="0.25"/>
    <row r="213" s="39" customFormat="1" ht="12.75" x14ac:dyDescent="0.25"/>
    <row r="214" s="39" customFormat="1" ht="12.75" x14ac:dyDescent="0.25"/>
    <row r="215" s="39" customFormat="1" ht="12.75" x14ac:dyDescent="0.25"/>
    <row r="216" s="39" customFormat="1" ht="12.75" x14ac:dyDescent="0.25"/>
    <row r="217" s="39" customFormat="1" ht="12.75" x14ac:dyDescent="0.25"/>
    <row r="218" s="39" customFormat="1" ht="12.75" x14ac:dyDescent="0.25"/>
    <row r="219" s="39" customFormat="1" ht="12.75" x14ac:dyDescent="0.25"/>
    <row r="220" s="39" customFormat="1" ht="12.75" x14ac:dyDescent="0.25"/>
    <row r="221" s="39" customFormat="1" ht="12.75" x14ac:dyDescent="0.25"/>
    <row r="222" s="39" customFormat="1" ht="12.75" x14ac:dyDescent="0.25"/>
    <row r="223" s="39" customFormat="1" ht="12.75" x14ac:dyDescent="0.25"/>
    <row r="224" s="39" customFormat="1" ht="12.75" x14ac:dyDescent="0.25"/>
    <row r="225" s="39" customFormat="1" ht="12.75" x14ac:dyDescent="0.25"/>
    <row r="226" s="39" customFormat="1" ht="12.75" x14ac:dyDescent="0.25"/>
    <row r="227" s="39" customFormat="1" ht="12.75" x14ac:dyDescent="0.25"/>
    <row r="228" s="39" customFormat="1" ht="12.75" x14ac:dyDescent="0.25"/>
    <row r="229" s="39" customFormat="1" ht="12.75" x14ac:dyDescent="0.25"/>
    <row r="230" s="39" customFormat="1" ht="12.75" x14ac:dyDescent="0.25"/>
    <row r="231" s="39" customFormat="1" ht="12.75" x14ac:dyDescent="0.25"/>
    <row r="232" s="39" customFormat="1" ht="12.75" x14ac:dyDescent="0.25"/>
    <row r="233" s="39" customFormat="1" ht="12.75" x14ac:dyDescent="0.25"/>
    <row r="234" s="39" customFormat="1" ht="12.75" x14ac:dyDescent="0.25"/>
    <row r="235" s="39" customFormat="1" ht="12.75" x14ac:dyDescent="0.25"/>
    <row r="236" s="39" customFormat="1" ht="12.75" x14ac:dyDescent="0.25"/>
    <row r="237" s="39" customFormat="1" ht="12.75" x14ac:dyDescent="0.25"/>
    <row r="238" s="39" customFormat="1" ht="12.75" x14ac:dyDescent="0.25"/>
    <row r="239" s="39" customFormat="1" ht="12.75" x14ac:dyDescent="0.25"/>
    <row r="240" s="39" customFormat="1" ht="12.75" x14ac:dyDescent="0.25"/>
    <row r="241" s="39" customFormat="1" ht="12.75" x14ac:dyDescent="0.25"/>
    <row r="242" s="39" customFormat="1" ht="12.75" x14ac:dyDescent="0.25"/>
    <row r="243" s="39" customFormat="1" ht="12.75" x14ac:dyDescent="0.25"/>
    <row r="244" s="39" customFormat="1" ht="12.75" x14ac:dyDescent="0.25"/>
    <row r="245" s="39" customFormat="1" ht="12.75" x14ac:dyDescent="0.25"/>
    <row r="246" s="39" customFormat="1" ht="12.75" x14ac:dyDescent="0.25"/>
    <row r="247" s="39" customFormat="1" ht="12.75" x14ac:dyDescent="0.25"/>
    <row r="248" s="39" customFormat="1" ht="12.75" x14ac:dyDescent="0.25"/>
    <row r="249" s="39" customFormat="1" ht="12.75" x14ac:dyDescent="0.25"/>
    <row r="250" s="39" customFormat="1" ht="12.75" x14ac:dyDescent="0.25"/>
    <row r="251" s="39" customFormat="1" ht="12.75" x14ac:dyDescent="0.25"/>
    <row r="252" s="39" customFormat="1" ht="12.75" x14ac:dyDescent="0.25"/>
    <row r="253" s="39" customFormat="1" ht="12.75" x14ac:dyDescent="0.25"/>
    <row r="254" s="39" customFormat="1" ht="12.75" x14ac:dyDescent="0.25"/>
    <row r="255" s="39" customFormat="1" ht="12.75" x14ac:dyDescent="0.25"/>
    <row r="256" s="39" customFormat="1" ht="12.75" x14ac:dyDescent="0.25"/>
    <row r="257" s="39" customFormat="1" ht="12.75" x14ac:dyDescent="0.25"/>
    <row r="258" s="39" customFormat="1" ht="12.75" x14ac:dyDescent="0.25"/>
    <row r="259" s="39" customFormat="1" ht="12.75" x14ac:dyDescent="0.25"/>
    <row r="260" s="39" customFormat="1" ht="12.75" x14ac:dyDescent="0.25"/>
    <row r="261" s="39" customFormat="1" ht="12.75" x14ac:dyDescent="0.25"/>
    <row r="262" s="39" customFormat="1" ht="12.75" x14ac:dyDescent="0.25"/>
    <row r="263" s="39" customFormat="1" ht="12.75" x14ac:dyDescent="0.25"/>
    <row r="264" s="39" customFormat="1" ht="12.75" x14ac:dyDescent="0.25"/>
    <row r="265" s="39" customFormat="1" ht="12.75" x14ac:dyDescent="0.25"/>
    <row r="266" s="39" customFormat="1" ht="12.75" x14ac:dyDescent="0.25"/>
    <row r="267" s="39" customFormat="1" ht="12.75" x14ac:dyDescent="0.25"/>
    <row r="268" s="39" customFormat="1" ht="12.75" x14ac:dyDescent="0.25"/>
    <row r="269" s="39" customFormat="1" ht="12.75" x14ac:dyDescent="0.25"/>
    <row r="270" s="39" customFormat="1" ht="12.75" x14ac:dyDescent="0.25"/>
    <row r="271" s="39" customFormat="1" ht="12.75" x14ac:dyDescent="0.25"/>
    <row r="272" s="39" customFormat="1" ht="12.75" x14ac:dyDescent="0.25"/>
    <row r="273" s="39" customFormat="1" ht="12.75" x14ac:dyDescent="0.25"/>
    <row r="274" s="39" customFormat="1" ht="12.75" x14ac:dyDescent="0.25"/>
    <row r="275" s="39" customFormat="1" ht="12.75" x14ac:dyDescent="0.25"/>
    <row r="276" s="39" customFormat="1" ht="12.75" x14ac:dyDescent="0.25"/>
    <row r="277" s="39" customFormat="1" ht="12.75" x14ac:dyDescent="0.25"/>
    <row r="278" s="39" customFormat="1" ht="12.75" x14ac:dyDescent="0.25"/>
    <row r="279" s="39" customFormat="1" ht="12.75" x14ac:dyDescent="0.25"/>
    <row r="280" s="39" customFormat="1" ht="12.75" x14ac:dyDescent="0.25"/>
    <row r="281" s="39" customFormat="1" ht="12.75" x14ac:dyDescent="0.25"/>
    <row r="282" s="39" customFormat="1" ht="12.75" x14ac:dyDescent="0.25"/>
    <row r="283" s="39" customFormat="1" ht="12.75" x14ac:dyDescent="0.25"/>
    <row r="284" s="39" customFormat="1" ht="12.75" x14ac:dyDescent="0.25"/>
    <row r="285" s="39" customFormat="1" ht="12.75" x14ac:dyDescent="0.25"/>
    <row r="286" s="39" customFormat="1" ht="12.75" x14ac:dyDescent="0.25"/>
    <row r="287" s="39" customFormat="1" ht="12.75" x14ac:dyDescent="0.25"/>
    <row r="288" s="39" customFormat="1" ht="12.75" x14ac:dyDescent="0.25"/>
    <row r="289" s="39" customFormat="1" ht="12.75" x14ac:dyDescent="0.25"/>
    <row r="290" s="39" customFormat="1" ht="12.75" x14ac:dyDescent="0.25"/>
    <row r="291" s="39" customFormat="1" ht="12.75" x14ac:dyDescent="0.25"/>
    <row r="292" s="39" customFormat="1" ht="12.75" x14ac:dyDescent="0.25"/>
    <row r="293" s="39" customFormat="1" ht="12.75" x14ac:dyDescent="0.25"/>
    <row r="294" s="39" customFormat="1" ht="12.75" x14ac:dyDescent="0.25"/>
    <row r="295" s="39" customFormat="1" ht="12.75" x14ac:dyDescent="0.25"/>
    <row r="296" s="39" customFormat="1" ht="12.75" x14ac:dyDescent="0.25"/>
    <row r="297" s="39" customFormat="1" ht="12.75" x14ac:dyDescent="0.25"/>
    <row r="298" s="39" customFormat="1" ht="12.75" x14ac:dyDescent="0.25"/>
    <row r="299" s="39" customFormat="1" ht="12.75" x14ac:dyDescent="0.25"/>
    <row r="300" s="39" customFormat="1" ht="12.75" x14ac:dyDescent="0.25"/>
    <row r="301" s="39" customFormat="1" ht="12.75" x14ac:dyDescent="0.25"/>
    <row r="302" s="39" customFormat="1" ht="12.75" x14ac:dyDescent="0.25"/>
    <row r="303" s="39" customFormat="1" ht="12.75" x14ac:dyDescent="0.25"/>
    <row r="304" s="39" customFormat="1" ht="12.75" x14ac:dyDescent="0.25"/>
    <row r="305" s="39" customFormat="1" ht="12.75" x14ac:dyDescent="0.25"/>
    <row r="306" s="39" customFormat="1" ht="12.75" x14ac:dyDescent="0.25"/>
    <row r="307" s="39" customFormat="1" ht="12.75" x14ac:dyDescent="0.25"/>
    <row r="308" s="39" customFormat="1" ht="12.75" x14ac:dyDescent="0.25"/>
    <row r="309" s="39" customFormat="1" ht="12.75" x14ac:dyDescent="0.25"/>
    <row r="310" s="39" customFormat="1" ht="12.75" x14ac:dyDescent="0.25"/>
    <row r="311" s="39" customFormat="1" ht="12.75" x14ac:dyDescent="0.25"/>
    <row r="312" s="39" customFormat="1" ht="12.75" x14ac:dyDescent="0.25"/>
    <row r="313" s="39" customFormat="1" ht="12.75" x14ac:dyDescent="0.25"/>
    <row r="314" s="39" customFormat="1" ht="12.75" x14ac:dyDescent="0.25"/>
    <row r="315" s="39" customFormat="1" ht="12.75" x14ac:dyDescent="0.25"/>
    <row r="316" s="39" customFormat="1" ht="12.75" x14ac:dyDescent="0.25"/>
    <row r="317" s="39" customFormat="1" ht="12.75" x14ac:dyDescent="0.25"/>
    <row r="318" s="39" customFormat="1" ht="12.75" x14ac:dyDescent="0.25"/>
    <row r="319" s="39" customFormat="1" ht="12.75" x14ac:dyDescent="0.25"/>
    <row r="320" s="39" customFormat="1" ht="12.75" x14ac:dyDescent="0.25"/>
    <row r="321" s="39" customFormat="1" ht="12.75" x14ac:dyDescent="0.25"/>
    <row r="322" s="39" customFormat="1" ht="12.75" x14ac:dyDescent="0.25"/>
    <row r="323" s="39" customFormat="1" ht="12.75" x14ac:dyDescent="0.25"/>
    <row r="324" s="39" customFormat="1" ht="12.75" x14ac:dyDescent="0.25"/>
    <row r="325" s="39" customFormat="1" ht="12.75" x14ac:dyDescent="0.25"/>
    <row r="326" s="39" customFormat="1" ht="12.75" x14ac:dyDescent="0.25"/>
    <row r="327" s="39" customFormat="1" ht="12.75" x14ac:dyDescent="0.25"/>
    <row r="328" s="39" customFormat="1" ht="12.75" x14ac:dyDescent="0.25"/>
    <row r="329" s="39" customFormat="1" ht="12.75" x14ac:dyDescent="0.25"/>
    <row r="330" s="39" customFormat="1" ht="12.75" x14ac:dyDescent="0.25"/>
    <row r="331" s="39" customFormat="1" ht="12.75" x14ac:dyDescent="0.25"/>
    <row r="332" s="39" customFormat="1" ht="12.75" x14ac:dyDescent="0.25"/>
    <row r="333" s="39" customFormat="1" ht="12.75" x14ac:dyDescent="0.25"/>
    <row r="334" s="39" customFormat="1" ht="12.75" x14ac:dyDescent="0.25"/>
    <row r="335" s="39" customFormat="1" ht="12.75" x14ac:dyDescent="0.25"/>
    <row r="336" s="39" customFormat="1" ht="12.75" x14ac:dyDescent="0.25"/>
    <row r="337" s="39" customFormat="1" ht="12.75" x14ac:dyDescent="0.25"/>
    <row r="338" s="39" customFormat="1" ht="12.75" x14ac:dyDescent="0.25"/>
    <row r="339" s="39" customFormat="1" ht="12.75" x14ac:dyDescent="0.25"/>
    <row r="340" s="39" customFormat="1" ht="12.75" x14ac:dyDescent="0.25"/>
    <row r="341" s="39" customFormat="1" ht="12.75" x14ac:dyDescent="0.25"/>
    <row r="342" s="39" customFormat="1" ht="12.75" x14ac:dyDescent="0.25"/>
    <row r="343" s="39" customFormat="1" ht="12.75" x14ac:dyDescent="0.25"/>
    <row r="344" s="39" customFormat="1" ht="12.75" x14ac:dyDescent="0.25"/>
    <row r="345" s="39" customFormat="1" ht="12.75" x14ac:dyDescent="0.25"/>
    <row r="346" s="39" customFormat="1" ht="12.75" x14ac:dyDescent="0.25"/>
    <row r="347" s="39" customFormat="1" ht="12.75" x14ac:dyDescent="0.25"/>
    <row r="348" s="39" customFormat="1" ht="12.75" x14ac:dyDescent="0.25"/>
    <row r="349" s="39" customFormat="1" ht="12.75" x14ac:dyDescent="0.25"/>
    <row r="350" s="39" customFormat="1" ht="12.75" x14ac:dyDescent="0.25"/>
    <row r="351" s="39" customFormat="1" ht="12.75" x14ac:dyDescent="0.25"/>
    <row r="352" s="39" customFormat="1" ht="12.75" x14ac:dyDescent="0.25"/>
    <row r="353" s="39" customFormat="1" ht="12.75" x14ac:dyDescent="0.25"/>
    <row r="354" s="39" customFormat="1" ht="12.75" x14ac:dyDescent="0.25"/>
    <row r="355" s="39" customFormat="1" ht="12.75" x14ac:dyDescent="0.25"/>
    <row r="356" s="39" customFormat="1" ht="12.75" x14ac:dyDescent="0.25"/>
    <row r="357" s="39" customFormat="1" ht="12.75" x14ac:dyDescent="0.25"/>
    <row r="358" s="39" customFormat="1" ht="12.75" x14ac:dyDescent="0.25"/>
    <row r="359" s="39" customFormat="1" ht="12.75" x14ac:dyDescent="0.25"/>
    <row r="360" s="39" customFormat="1" ht="12.75" x14ac:dyDescent="0.25"/>
    <row r="361" s="39" customFormat="1" ht="12.75" x14ac:dyDescent="0.25"/>
    <row r="362" s="39" customFormat="1" ht="12.75" x14ac:dyDescent="0.25"/>
    <row r="363" s="39" customFormat="1" ht="12.75" x14ac:dyDescent="0.25"/>
    <row r="364" s="39" customFormat="1" ht="12.75" x14ac:dyDescent="0.25"/>
    <row r="365" s="39" customFormat="1" ht="12.75" x14ac:dyDescent="0.25"/>
    <row r="366" s="39" customFormat="1" ht="12.75" x14ac:dyDescent="0.25"/>
    <row r="367" s="39" customFormat="1" ht="12.75" x14ac:dyDescent="0.25"/>
    <row r="368" s="39" customFormat="1" ht="12.75" x14ac:dyDescent="0.25"/>
    <row r="369" s="39" customFormat="1" ht="12.75" x14ac:dyDescent="0.25"/>
    <row r="370" s="39" customFormat="1" ht="12.75" x14ac:dyDescent="0.25"/>
    <row r="371" s="39" customFormat="1" ht="12.75" x14ac:dyDescent="0.25"/>
    <row r="372" s="39" customFormat="1" ht="12.75" x14ac:dyDescent="0.25"/>
    <row r="373" s="39" customFormat="1" ht="12.75" x14ac:dyDescent="0.25"/>
    <row r="374" s="39" customFormat="1" ht="12.75" x14ac:dyDescent="0.25"/>
    <row r="375" s="39" customFormat="1" ht="12.75" x14ac:dyDescent="0.25"/>
    <row r="376" s="39" customFormat="1" ht="12.75" x14ac:dyDescent="0.25"/>
    <row r="377" s="39" customFormat="1" ht="12.75" x14ac:dyDescent="0.25"/>
    <row r="378" s="39" customFormat="1" ht="12.75" x14ac:dyDescent="0.25"/>
    <row r="379" s="39" customFormat="1" ht="12.75" x14ac:dyDescent="0.25"/>
    <row r="380" s="39" customFormat="1" ht="12.75" x14ac:dyDescent="0.25"/>
    <row r="381" s="39" customFormat="1" ht="12.75" x14ac:dyDescent="0.25"/>
    <row r="382" s="39" customFormat="1" ht="12.75" x14ac:dyDescent="0.25"/>
    <row r="383" s="39" customFormat="1" ht="12.75" x14ac:dyDescent="0.25"/>
    <row r="384" s="39" customFormat="1" ht="12.75" x14ac:dyDescent="0.25"/>
    <row r="385" s="39" customFormat="1" ht="12.75" x14ac:dyDescent="0.25"/>
    <row r="386" s="39" customFormat="1" ht="12.75" x14ac:dyDescent="0.25"/>
    <row r="387" s="39" customFormat="1" ht="12.75" x14ac:dyDescent="0.25"/>
    <row r="388" s="39" customFormat="1" ht="12.75" x14ac:dyDescent="0.25"/>
    <row r="389" s="39" customFormat="1" ht="12.75" x14ac:dyDescent="0.25"/>
    <row r="390" s="39" customFormat="1" ht="12.75" x14ac:dyDescent="0.25"/>
    <row r="391" s="39" customFormat="1" ht="12.75" x14ac:dyDescent="0.25"/>
    <row r="392" s="39" customFormat="1" ht="12.75" x14ac:dyDescent="0.25"/>
    <row r="393" s="39" customFormat="1" ht="12.75" x14ac:dyDescent="0.25"/>
    <row r="394" s="39" customFormat="1" ht="12.75" x14ac:dyDescent="0.25"/>
    <row r="395" s="39" customFormat="1" ht="12.75" x14ac:dyDescent="0.25"/>
    <row r="396" s="39" customFormat="1" ht="12.75" x14ac:dyDescent="0.25"/>
    <row r="397" s="39" customFormat="1" ht="12.75" x14ac:dyDescent="0.25"/>
    <row r="398" s="39" customFormat="1" ht="12.75" x14ac:dyDescent="0.25"/>
    <row r="399" s="39" customFormat="1" ht="12.75" x14ac:dyDescent="0.25"/>
    <row r="400" s="39" customFormat="1" ht="12.75" x14ac:dyDescent="0.25"/>
    <row r="401" s="39" customFormat="1" ht="12.75" x14ac:dyDescent="0.25"/>
    <row r="402" s="39" customFormat="1" ht="12.75" x14ac:dyDescent="0.25"/>
    <row r="403" s="39" customFormat="1" ht="12.75" x14ac:dyDescent="0.25"/>
    <row r="404" s="39" customFormat="1" ht="12.75" x14ac:dyDescent="0.25"/>
    <row r="405" s="39" customFormat="1" ht="12.75" x14ac:dyDescent="0.25"/>
    <row r="406" s="39" customFormat="1" ht="12.75" x14ac:dyDescent="0.25"/>
    <row r="407" s="39" customFormat="1" ht="12.75" x14ac:dyDescent="0.25"/>
    <row r="408" s="39" customFormat="1" ht="12.75" x14ac:dyDescent="0.25"/>
    <row r="409" s="39" customFormat="1" ht="12.75" x14ac:dyDescent="0.25"/>
    <row r="410" s="39" customFormat="1" ht="12.75" x14ac:dyDescent="0.25"/>
    <row r="411" s="39" customFormat="1" ht="12.75" x14ac:dyDescent="0.25"/>
    <row r="412" s="39" customFormat="1" ht="12.75" x14ac:dyDescent="0.25"/>
    <row r="413" s="39" customFormat="1" ht="12.75" x14ac:dyDescent="0.25"/>
    <row r="414" s="39" customFormat="1" ht="12.75" x14ac:dyDescent="0.25"/>
    <row r="415" s="39" customFormat="1" ht="12.75" x14ac:dyDescent="0.25"/>
    <row r="416" s="39" customFormat="1" ht="12.75" x14ac:dyDescent="0.25"/>
    <row r="417" s="39" customFormat="1" ht="12.75" x14ac:dyDescent="0.25"/>
    <row r="418" s="39" customFormat="1" ht="12.75" x14ac:dyDescent="0.25"/>
    <row r="419" s="39" customFormat="1" ht="12.75" x14ac:dyDescent="0.25"/>
    <row r="420" s="39" customFormat="1" ht="12.75" x14ac:dyDescent="0.25"/>
    <row r="421" s="39" customFormat="1" ht="12.75" x14ac:dyDescent="0.25"/>
    <row r="422" s="39" customFormat="1" ht="12.75" x14ac:dyDescent="0.25"/>
    <row r="423" s="39" customFormat="1" ht="12.75" x14ac:dyDescent="0.25"/>
    <row r="424" s="39" customFormat="1" ht="12.75" x14ac:dyDescent="0.25"/>
    <row r="425" s="39" customFormat="1" ht="12.75" x14ac:dyDescent="0.25"/>
    <row r="426" s="39" customFormat="1" ht="12.75" x14ac:dyDescent="0.25"/>
    <row r="427" s="39" customFormat="1" ht="12.75" x14ac:dyDescent="0.25"/>
    <row r="428" s="39" customFormat="1" ht="12.75" x14ac:dyDescent="0.25"/>
    <row r="429" s="39" customFormat="1" ht="12.75" x14ac:dyDescent="0.25"/>
    <row r="430" s="39" customFormat="1" ht="12.75" x14ac:dyDescent="0.25"/>
    <row r="431" s="39" customFormat="1" ht="12.75" x14ac:dyDescent="0.25"/>
    <row r="432" s="39" customFormat="1" ht="12.75" x14ac:dyDescent="0.25"/>
    <row r="433" s="39" customFormat="1" ht="12.75" x14ac:dyDescent="0.25"/>
    <row r="434" s="39" customFormat="1" ht="12.75" x14ac:dyDescent="0.25"/>
    <row r="435" s="39" customFormat="1" ht="12.75" x14ac:dyDescent="0.25"/>
    <row r="436" s="39" customFormat="1" ht="12.75" x14ac:dyDescent="0.25"/>
    <row r="437" s="39" customFormat="1" ht="12.75" x14ac:dyDescent="0.25"/>
    <row r="438" s="39" customFormat="1" ht="12.75" x14ac:dyDescent="0.25"/>
    <row r="439" s="39" customFormat="1" ht="12.75" x14ac:dyDescent="0.25"/>
    <row r="440" s="39" customFormat="1" ht="12.75" x14ac:dyDescent="0.25"/>
    <row r="441" s="39" customFormat="1" ht="12.75" x14ac:dyDescent="0.25"/>
    <row r="442" s="39" customFormat="1" ht="12.75" x14ac:dyDescent="0.25"/>
    <row r="443" s="39" customFormat="1" ht="12.75" x14ac:dyDescent="0.25"/>
    <row r="444" s="39" customFormat="1" ht="12.75" x14ac:dyDescent="0.25"/>
    <row r="445" s="39" customFormat="1" ht="12.75" x14ac:dyDescent="0.25"/>
    <row r="446" s="39" customFormat="1" ht="12.75" x14ac:dyDescent="0.25"/>
    <row r="447" s="39" customFormat="1" ht="12.75" x14ac:dyDescent="0.25"/>
    <row r="448" s="39" customFormat="1" ht="12.75" x14ac:dyDescent="0.25"/>
    <row r="449" s="39" customFormat="1" ht="12.75" x14ac:dyDescent="0.25"/>
    <row r="450" s="39" customFormat="1" ht="12.75" x14ac:dyDescent="0.25"/>
    <row r="451" s="39" customFormat="1" ht="12.75" x14ac:dyDescent="0.25"/>
    <row r="452" s="39" customFormat="1" ht="12.75" x14ac:dyDescent="0.25"/>
    <row r="453" s="39" customFormat="1" ht="12.75" x14ac:dyDescent="0.25"/>
    <row r="454" s="39" customFormat="1" ht="12.75" x14ac:dyDescent="0.25"/>
    <row r="455" s="39" customFormat="1" ht="12.75" x14ac:dyDescent="0.25"/>
    <row r="456" s="39" customFormat="1" ht="12.75" x14ac:dyDescent="0.25"/>
    <row r="457" s="39" customFormat="1" ht="12.75" x14ac:dyDescent="0.25"/>
    <row r="458" s="39" customFormat="1" ht="12.75" x14ac:dyDescent="0.25"/>
    <row r="459" s="39" customFormat="1" ht="12.75" x14ac:dyDescent="0.25"/>
    <row r="460" s="39" customFormat="1" ht="12.75" x14ac:dyDescent="0.25"/>
    <row r="461" s="39" customFormat="1" ht="12.75" x14ac:dyDescent="0.25"/>
    <row r="462" s="39" customFormat="1" ht="12.75" x14ac:dyDescent="0.25"/>
    <row r="463" s="39" customFormat="1" ht="12.75" x14ac:dyDescent="0.25"/>
    <row r="464" s="39" customFormat="1" ht="12.75" x14ac:dyDescent="0.25"/>
    <row r="465" s="39" customFormat="1" ht="12.75" x14ac:dyDescent="0.25"/>
    <row r="466" s="39" customFormat="1" ht="12.75" x14ac:dyDescent="0.25"/>
    <row r="467" s="39" customFormat="1" ht="12.75" x14ac:dyDescent="0.25"/>
    <row r="468" s="39" customFormat="1" ht="12.75" x14ac:dyDescent="0.25"/>
    <row r="469" s="39" customFormat="1" ht="12.75" x14ac:dyDescent="0.25"/>
    <row r="470" s="39" customFormat="1" ht="12.75" x14ac:dyDescent="0.25"/>
    <row r="471" s="39" customFormat="1" ht="12.75" x14ac:dyDescent="0.25"/>
    <row r="472" s="39" customFormat="1" ht="12.75" x14ac:dyDescent="0.25"/>
    <row r="473" s="39" customFormat="1" ht="12.75" x14ac:dyDescent="0.25"/>
    <row r="474" s="39" customFormat="1" ht="12.75" x14ac:dyDescent="0.25"/>
    <row r="475" s="39" customFormat="1" ht="12.75" x14ac:dyDescent="0.25"/>
    <row r="476" s="39" customFormat="1" ht="12.75" x14ac:dyDescent="0.25"/>
    <row r="477" s="39" customFormat="1" ht="12.75" x14ac:dyDescent="0.25"/>
    <row r="478" s="39" customFormat="1" ht="12.75" x14ac:dyDescent="0.25"/>
    <row r="479" s="39" customFormat="1" ht="12.75" x14ac:dyDescent="0.25"/>
    <row r="480" s="39" customFormat="1" ht="12.75" x14ac:dyDescent="0.25"/>
    <row r="481" s="39" customFormat="1" ht="12.75" x14ac:dyDescent="0.25"/>
    <row r="482" s="39" customFormat="1" ht="12.75" x14ac:dyDescent="0.25"/>
    <row r="483" s="39" customFormat="1" ht="12.75" x14ac:dyDescent="0.25"/>
    <row r="484" s="39" customFormat="1" ht="12.75" x14ac:dyDescent="0.25"/>
    <row r="485" s="39" customFormat="1" ht="12.75" x14ac:dyDescent="0.25"/>
    <row r="486" s="39" customFormat="1" ht="12.75" x14ac:dyDescent="0.25"/>
    <row r="487" s="39" customFormat="1" ht="12.75" x14ac:dyDescent="0.25"/>
    <row r="488" s="39" customFormat="1" ht="12.75" x14ac:dyDescent="0.25"/>
    <row r="489" s="39" customFormat="1" ht="12.75" x14ac:dyDescent="0.25"/>
    <row r="490" s="39" customFormat="1" ht="12.75" x14ac:dyDescent="0.25"/>
    <row r="491" s="39" customFormat="1" ht="12.75" x14ac:dyDescent="0.25"/>
    <row r="492" s="39" customFormat="1" ht="12.75" x14ac:dyDescent="0.25"/>
    <row r="493" s="39" customFormat="1" ht="12.75" x14ac:dyDescent="0.25"/>
    <row r="494" s="39" customFormat="1" ht="12.75" x14ac:dyDescent="0.25"/>
    <row r="495" s="39" customFormat="1" ht="12.75" x14ac:dyDescent="0.25"/>
    <row r="496" s="39" customFormat="1" ht="12.75" x14ac:dyDescent="0.25"/>
    <row r="497" s="39" customFormat="1" ht="12.75" x14ac:dyDescent="0.25"/>
    <row r="498" s="39" customFormat="1" ht="12.75" x14ac:dyDescent="0.25"/>
    <row r="499" s="39" customFormat="1" ht="12.75" x14ac:dyDescent="0.25"/>
    <row r="500" s="39" customFormat="1" ht="12.75" x14ac:dyDescent="0.25"/>
    <row r="501" s="39" customFormat="1" ht="12.75" x14ac:dyDescent="0.25"/>
    <row r="502" s="39" customFormat="1" ht="12.75" x14ac:dyDescent="0.25"/>
    <row r="503" s="39" customFormat="1" ht="12.75" x14ac:dyDescent="0.25"/>
    <row r="504" s="39" customFormat="1" ht="12.75" x14ac:dyDescent="0.25"/>
    <row r="505" s="39" customFormat="1" ht="12.75" x14ac:dyDescent="0.25"/>
    <row r="506" s="39" customFormat="1" ht="12.75" x14ac:dyDescent="0.25"/>
    <row r="507" s="39" customFormat="1" ht="12.75" x14ac:dyDescent="0.25"/>
    <row r="508" s="39" customFormat="1" ht="12.75" x14ac:dyDescent="0.25"/>
    <row r="509" s="39" customFormat="1" ht="12.75" x14ac:dyDescent="0.25"/>
    <row r="510" s="39" customFormat="1" ht="12.75" x14ac:dyDescent="0.25"/>
    <row r="511" s="39" customFormat="1" ht="12.75" x14ac:dyDescent="0.25"/>
    <row r="512" s="39" customFormat="1" ht="12.75" x14ac:dyDescent="0.25"/>
    <row r="513" s="39" customFormat="1" ht="12.75" x14ac:dyDescent="0.25"/>
    <row r="514" s="39" customFormat="1" ht="12.75" x14ac:dyDescent="0.25"/>
    <row r="515" s="39" customFormat="1" ht="12.75" x14ac:dyDescent="0.25"/>
    <row r="516" s="39" customFormat="1" ht="12.75" x14ac:dyDescent="0.25"/>
    <row r="517" s="39" customFormat="1" ht="12.75" x14ac:dyDescent="0.25"/>
    <row r="518" s="39" customFormat="1" ht="12.75" x14ac:dyDescent="0.25"/>
    <row r="519" s="39" customFormat="1" ht="12.75" x14ac:dyDescent="0.25"/>
    <row r="520" s="39" customFormat="1" ht="12.75" x14ac:dyDescent="0.25"/>
    <row r="521" s="39" customFormat="1" ht="12.75" x14ac:dyDescent="0.25"/>
    <row r="522" s="39" customFormat="1" ht="12.75" x14ac:dyDescent="0.25"/>
    <row r="523" s="39" customFormat="1" ht="12.75" x14ac:dyDescent="0.25"/>
    <row r="524" s="39" customFormat="1" ht="12.75" x14ac:dyDescent="0.25"/>
    <row r="525" s="39" customFormat="1" ht="12.75" x14ac:dyDescent="0.25"/>
    <row r="526" s="39" customFormat="1" ht="12.75" x14ac:dyDescent="0.25"/>
    <row r="527" s="39" customFormat="1" ht="12.75" x14ac:dyDescent="0.25"/>
    <row r="528" s="39" customFormat="1" ht="12.75" x14ac:dyDescent="0.25"/>
    <row r="529" s="39" customFormat="1" ht="12.75" x14ac:dyDescent="0.25"/>
    <row r="530" s="39" customFormat="1" ht="12.75" x14ac:dyDescent="0.25"/>
    <row r="531" s="39" customFormat="1" ht="12.75" x14ac:dyDescent="0.25"/>
    <row r="532" s="39" customFormat="1" ht="12.75" x14ac:dyDescent="0.25"/>
    <row r="533" s="39" customFormat="1" ht="12.75" x14ac:dyDescent="0.25"/>
    <row r="534" s="39" customFormat="1" ht="12.75" x14ac:dyDescent="0.25"/>
    <row r="535" s="39" customFormat="1" ht="12.75" x14ac:dyDescent="0.25"/>
    <row r="536" s="39" customFormat="1" ht="12.75" x14ac:dyDescent="0.25"/>
    <row r="537" s="39" customFormat="1" ht="12.75" x14ac:dyDescent="0.25"/>
    <row r="538" s="39" customFormat="1" ht="12.75" x14ac:dyDescent="0.25"/>
    <row r="539" s="39" customFormat="1" ht="12.75" x14ac:dyDescent="0.25"/>
    <row r="540" s="39" customFormat="1" ht="12.75" x14ac:dyDescent="0.25"/>
    <row r="541" s="39" customFormat="1" ht="12.75" x14ac:dyDescent="0.25"/>
    <row r="542" s="39" customFormat="1" ht="12.75" x14ac:dyDescent="0.25"/>
    <row r="543" s="39" customFormat="1" ht="12.75" x14ac:dyDescent="0.25"/>
    <row r="544" s="39" customFormat="1" ht="12.75" x14ac:dyDescent="0.25"/>
    <row r="545" s="39" customFormat="1" ht="12.75" x14ac:dyDescent="0.25"/>
    <row r="546" s="39" customFormat="1" ht="12.75" x14ac:dyDescent="0.25"/>
    <row r="547" s="39" customFormat="1" ht="12.75" x14ac:dyDescent="0.25"/>
    <row r="548" s="39" customFormat="1" ht="12.75" x14ac:dyDescent="0.25"/>
    <row r="549" s="39" customFormat="1" ht="12.75" x14ac:dyDescent="0.25"/>
    <row r="550" s="39" customFormat="1" ht="12.75" x14ac:dyDescent="0.25"/>
    <row r="551" s="39" customFormat="1" ht="12.75" x14ac:dyDescent="0.25"/>
    <row r="552" s="39" customFormat="1" ht="12.75" x14ac:dyDescent="0.25"/>
    <row r="553" s="39" customFormat="1" ht="12.75" x14ac:dyDescent="0.25"/>
    <row r="554" s="39" customFormat="1" ht="12.75" x14ac:dyDescent="0.25"/>
    <row r="555" s="39" customFormat="1" ht="12.75" x14ac:dyDescent="0.25"/>
    <row r="556" s="39" customFormat="1" ht="12.75" x14ac:dyDescent="0.25"/>
    <row r="557" s="39" customFormat="1" ht="12.75" x14ac:dyDescent="0.25"/>
    <row r="558" s="39" customFormat="1" ht="12.75" x14ac:dyDescent="0.25"/>
    <row r="559" s="39" customFormat="1" ht="12.75" x14ac:dyDescent="0.25"/>
    <row r="560" s="39" customFormat="1" ht="12.75" x14ac:dyDescent="0.25"/>
    <row r="561" s="39" customFormat="1" ht="12.75" x14ac:dyDescent="0.25"/>
    <row r="562" s="39" customFormat="1" ht="12.75" x14ac:dyDescent="0.25"/>
    <row r="563" s="39" customFormat="1" ht="12.75" x14ac:dyDescent="0.25"/>
    <row r="564" s="39" customFormat="1" ht="12.75" x14ac:dyDescent="0.25"/>
    <row r="565" s="39" customFormat="1" ht="12.75" x14ac:dyDescent="0.25"/>
    <row r="566" s="39" customFormat="1" ht="12.75" x14ac:dyDescent="0.25"/>
    <row r="567" s="39" customFormat="1" ht="12.75" x14ac:dyDescent="0.25"/>
    <row r="568" s="39" customFormat="1" ht="12.75" x14ac:dyDescent="0.25"/>
    <row r="569" s="39" customFormat="1" ht="12.75" x14ac:dyDescent="0.25"/>
    <row r="570" s="39" customFormat="1" ht="12.75" x14ac:dyDescent="0.25"/>
    <row r="571" s="39" customFormat="1" ht="12.75" x14ac:dyDescent="0.25"/>
    <row r="572" s="39" customFormat="1" ht="12.75" x14ac:dyDescent="0.25"/>
    <row r="573" s="39" customFormat="1" ht="12.75" x14ac:dyDescent="0.25"/>
    <row r="574" s="39" customFormat="1" ht="12.75" x14ac:dyDescent="0.25"/>
    <row r="575" s="39" customFormat="1" ht="12.75" x14ac:dyDescent="0.25"/>
    <row r="576" s="39" customFormat="1" ht="12.75" x14ac:dyDescent="0.25"/>
    <row r="577" s="39" customFormat="1" ht="12.75" x14ac:dyDescent="0.25"/>
    <row r="578" s="39" customFormat="1" ht="12.75" x14ac:dyDescent="0.25"/>
    <row r="579" s="39" customFormat="1" ht="12.75" x14ac:dyDescent="0.25"/>
    <row r="580" s="39" customFormat="1" ht="12.75" x14ac:dyDescent="0.25"/>
    <row r="581" s="39" customFormat="1" ht="12.75" x14ac:dyDescent="0.25"/>
    <row r="582" s="39" customFormat="1" ht="12.75" x14ac:dyDescent="0.25"/>
    <row r="583" s="39" customFormat="1" ht="12.75" x14ac:dyDescent="0.25"/>
    <row r="584" s="39" customFormat="1" ht="12.75" x14ac:dyDescent="0.25"/>
    <row r="585" s="39" customFormat="1" ht="12.75" x14ac:dyDescent="0.25"/>
    <row r="586" s="39" customFormat="1" ht="12.75" x14ac:dyDescent="0.25"/>
    <row r="587" s="39" customFormat="1" ht="12.75" x14ac:dyDescent="0.25"/>
    <row r="588" s="39" customFormat="1" ht="12.75" x14ac:dyDescent="0.25"/>
    <row r="589" s="39" customFormat="1" ht="12.75" x14ac:dyDescent="0.25"/>
    <row r="590" s="39" customFormat="1" ht="12.75" x14ac:dyDescent="0.25"/>
    <row r="591" s="39" customFormat="1" ht="12.75" x14ac:dyDescent="0.25"/>
    <row r="592" s="39" customFormat="1" ht="12.75" x14ac:dyDescent="0.25"/>
    <row r="593" s="39" customFormat="1" ht="12.75" x14ac:dyDescent="0.25"/>
    <row r="594" s="39" customFormat="1" ht="12.75" x14ac:dyDescent="0.25"/>
    <row r="595" s="39" customFormat="1" ht="12.75" x14ac:dyDescent="0.25"/>
    <row r="596" s="39" customFormat="1" ht="12.75" x14ac:dyDescent="0.25"/>
    <row r="597" s="39" customFormat="1" ht="12.75" x14ac:dyDescent="0.25"/>
    <row r="598" s="39" customFormat="1" ht="12.75" x14ac:dyDescent="0.25"/>
    <row r="599" s="39" customFormat="1" ht="12.75" x14ac:dyDescent="0.25"/>
    <row r="600" s="39" customFormat="1" ht="12.75" x14ac:dyDescent="0.25"/>
    <row r="601" s="39" customFormat="1" ht="12.75" x14ac:dyDescent="0.25"/>
    <row r="602" s="39" customFormat="1" ht="12.75" x14ac:dyDescent="0.25"/>
    <row r="603" s="39" customFormat="1" ht="12.75" x14ac:dyDescent="0.25"/>
    <row r="604" s="39" customFormat="1" ht="12.75" x14ac:dyDescent="0.25"/>
    <row r="605" s="39" customFormat="1" ht="12.75" x14ac:dyDescent="0.25"/>
    <row r="606" s="39" customFormat="1" ht="12.75" x14ac:dyDescent="0.25"/>
    <row r="607" s="39" customFormat="1" ht="12.75" x14ac:dyDescent="0.25"/>
    <row r="608" s="39" customFormat="1" ht="12.75" x14ac:dyDescent="0.25"/>
    <row r="609" s="39" customFormat="1" ht="12.75" x14ac:dyDescent="0.25"/>
    <row r="610" s="39" customFormat="1" ht="12.75" x14ac:dyDescent="0.25"/>
    <row r="611" s="39" customFormat="1" ht="12.75" x14ac:dyDescent="0.25"/>
    <row r="612" s="39" customFormat="1" ht="12.75" x14ac:dyDescent="0.25"/>
    <row r="613" s="39" customFormat="1" ht="12.75" x14ac:dyDescent="0.25"/>
    <row r="614" s="39" customFormat="1" ht="12.75" x14ac:dyDescent="0.25"/>
    <row r="615" s="39" customFormat="1" ht="12.75" x14ac:dyDescent="0.25"/>
    <row r="616" s="39" customFormat="1" ht="12.75" x14ac:dyDescent="0.25"/>
    <row r="617" s="39" customFormat="1" ht="12.75" x14ac:dyDescent="0.25"/>
    <row r="618" s="39" customFormat="1" ht="12.75" x14ac:dyDescent="0.25"/>
    <row r="619" s="39" customFormat="1" ht="12.75" x14ac:dyDescent="0.25"/>
    <row r="620" s="39" customFormat="1" ht="12.75" x14ac:dyDescent="0.25"/>
    <row r="621" s="39" customFormat="1" ht="12.75" x14ac:dyDescent="0.25"/>
    <row r="622" s="39" customFormat="1" ht="12.75" x14ac:dyDescent="0.25"/>
    <row r="623" s="39" customFormat="1" ht="12.75" x14ac:dyDescent="0.25"/>
    <row r="624" s="39" customFormat="1" ht="12.75" x14ac:dyDescent="0.25"/>
    <row r="625" s="39" customFormat="1" ht="12.75" x14ac:dyDescent="0.25"/>
    <row r="626" s="39" customFormat="1" ht="12.75" x14ac:dyDescent="0.25"/>
    <row r="627" s="39" customFormat="1" ht="12.75" x14ac:dyDescent="0.25"/>
    <row r="628" s="39" customFormat="1" ht="12.75" x14ac:dyDescent="0.25"/>
    <row r="629" s="39" customFormat="1" ht="12.75" x14ac:dyDescent="0.25"/>
    <row r="630" s="39" customFormat="1" ht="12.75" x14ac:dyDescent="0.25"/>
    <row r="631" s="39" customFormat="1" ht="12.75" x14ac:dyDescent="0.25"/>
    <row r="632" s="39" customFormat="1" ht="12.75" x14ac:dyDescent="0.25"/>
    <row r="633" s="39" customFormat="1" ht="12.75" x14ac:dyDescent="0.25"/>
    <row r="634" s="39" customFormat="1" ht="12.75" x14ac:dyDescent="0.25"/>
    <row r="635" s="39" customFormat="1" ht="12.75" x14ac:dyDescent="0.25"/>
    <row r="636" s="39" customFormat="1" ht="12.75" x14ac:dyDescent="0.25"/>
    <row r="637" s="39" customFormat="1" ht="12.75" x14ac:dyDescent="0.25"/>
    <row r="638" s="39" customFormat="1" ht="12.75" x14ac:dyDescent="0.25"/>
    <row r="639" s="39" customFormat="1" ht="12.75" x14ac:dyDescent="0.25"/>
    <row r="640" s="39" customFormat="1" ht="12.75" x14ac:dyDescent="0.25"/>
    <row r="641" s="39" customFormat="1" ht="12.75" x14ac:dyDescent="0.25"/>
    <row r="642" s="39" customFormat="1" ht="12.75" x14ac:dyDescent="0.25"/>
    <row r="643" s="39" customFormat="1" ht="12.75" x14ac:dyDescent="0.25"/>
    <row r="644" s="39" customFormat="1" ht="12.75" x14ac:dyDescent="0.25"/>
    <row r="645" s="39" customFormat="1" ht="12.75" x14ac:dyDescent="0.25"/>
    <row r="646" s="39" customFormat="1" ht="12.75" x14ac:dyDescent="0.25"/>
    <row r="647" s="39" customFormat="1" ht="12.75" x14ac:dyDescent="0.25"/>
    <row r="648" s="39" customFormat="1" ht="12.75" x14ac:dyDescent="0.25"/>
    <row r="649" s="39" customFormat="1" ht="12.75" x14ac:dyDescent="0.25"/>
    <row r="650" s="39" customFormat="1" ht="12.75" x14ac:dyDescent="0.25"/>
    <row r="651" s="39" customFormat="1" ht="12.75" x14ac:dyDescent="0.25"/>
    <row r="652" s="39" customFormat="1" ht="12.75" x14ac:dyDescent="0.25"/>
    <row r="653" s="39" customFormat="1" ht="12.75" x14ac:dyDescent="0.25"/>
    <row r="654" s="39" customFormat="1" ht="12.75" x14ac:dyDescent="0.25"/>
    <row r="655" s="39" customFormat="1" ht="12.75" x14ac:dyDescent="0.25"/>
    <row r="656" s="39" customFormat="1" ht="12.75" x14ac:dyDescent="0.25"/>
    <row r="657" s="39" customFormat="1" ht="12.75" x14ac:dyDescent="0.25"/>
    <row r="658" s="39" customFormat="1" ht="12.75" x14ac:dyDescent="0.25"/>
    <row r="659" s="39" customFormat="1" ht="12.75" x14ac:dyDescent="0.25"/>
    <row r="660" s="39" customFormat="1" ht="12.75" x14ac:dyDescent="0.25"/>
    <row r="661" s="39" customFormat="1" ht="12.75" x14ac:dyDescent="0.25"/>
    <row r="662" s="39" customFormat="1" ht="12.75" x14ac:dyDescent="0.25"/>
    <row r="663" s="39" customFormat="1" ht="12.75" x14ac:dyDescent="0.25"/>
    <row r="664" s="39" customFormat="1" ht="12.75" x14ac:dyDescent="0.25"/>
    <row r="665" s="39" customFormat="1" ht="12.75" x14ac:dyDescent="0.25"/>
    <row r="666" s="39" customFormat="1" ht="12.75" x14ac:dyDescent="0.25"/>
    <row r="667" s="39" customFormat="1" ht="12.75" x14ac:dyDescent="0.25"/>
    <row r="668" s="39" customFormat="1" ht="12.75" x14ac:dyDescent="0.25"/>
    <row r="669" s="39" customFormat="1" ht="12.75" x14ac:dyDescent="0.25"/>
    <row r="670" s="39" customFormat="1" ht="12.75" x14ac:dyDescent="0.25"/>
    <row r="671" s="39" customFormat="1" ht="12.75" x14ac:dyDescent="0.25"/>
    <row r="672" s="39" customFormat="1" ht="12.75" x14ac:dyDescent="0.25"/>
    <row r="673" s="39" customFormat="1" ht="12.75" x14ac:dyDescent="0.25"/>
    <row r="674" s="39" customFormat="1" ht="12.75" x14ac:dyDescent="0.25"/>
    <row r="675" s="39" customFormat="1" ht="12.75" x14ac:dyDescent="0.25"/>
    <row r="676" s="39" customFormat="1" ht="12.75" x14ac:dyDescent="0.25"/>
    <row r="677" s="39" customFormat="1" ht="12.75" x14ac:dyDescent="0.25"/>
    <row r="678" s="39" customFormat="1" ht="12.75" x14ac:dyDescent="0.25"/>
    <row r="679" s="39" customFormat="1" ht="12.75" x14ac:dyDescent="0.25"/>
    <row r="680" s="39" customFormat="1" ht="12.75" x14ac:dyDescent="0.25"/>
    <row r="681" s="39" customFormat="1" ht="12.75" x14ac:dyDescent="0.25"/>
    <row r="682" s="39" customFormat="1" ht="12.75" x14ac:dyDescent="0.25"/>
    <row r="683" s="39" customFormat="1" ht="12.75" x14ac:dyDescent="0.25"/>
    <row r="684" s="39" customFormat="1" ht="12.75" x14ac:dyDescent="0.25"/>
    <row r="685" s="39" customFormat="1" ht="12.75" x14ac:dyDescent="0.25"/>
    <row r="686" s="39" customFormat="1" ht="12.75" x14ac:dyDescent="0.25"/>
    <row r="687" s="39" customFormat="1" ht="12.75" x14ac:dyDescent="0.25"/>
    <row r="688" s="39" customFormat="1" ht="12.75" x14ac:dyDescent="0.25"/>
    <row r="689" s="39" customFormat="1" ht="12.75" x14ac:dyDescent="0.25"/>
    <row r="690" s="39" customFormat="1" ht="12.75" x14ac:dyDescent="0.25"/>
    <row r="691" s="39" customFormat="1" ht="12.75" x14ac:dyDescent="0.25"/>
    <row r="692" s="39" customFormat="1" ht="12.75" x14ac:dyDescent="0.25"/>
    <row r="693" s="39" customFormat="1" ht="12.75" x14ac:dyDescent="0.25"/>
    <row r="694" s="39" customFormat="1" ht="12.75" x14ac:dyDescent="0.25"/>
    <row r="695" s="39" customFormat="1" ht="12.75" x14ac:dyDescent="0.25"/>
    <row r="696" s="39" customFormat="1" ht="12.75" x14ac:dyDescent="0.25"/>
    <row r="697" s="39" customFormat="1" ht="12.75" x14ac:dyDescent="0.25"/>
    <row r="698" s="39" customFormat="1" ht="12.75" x14ac:dyDescent="0.25"/>
    <row r="699" s="39" customFormat="1" ht="12.75" x14ac:dyDescent="0.25"/>
    <row r="700" s="39" customFormat="1" ht="12.75" x14ac:dyDescent="0.25"/>
    <row r="701" s="39" customFormat="1" ht="12.75" x14ac:dyDescent="0.25"/>
    <row r="702" s="39" customFormat="1" ht="12.75" x14ac:dyDescent="0.25"/>
    <row r="703" s="39" customFormat="1" ht="12.75" x14ac:dyDescent="0.25"/>
    <row r="704" s="39" customFormat="1" ht="12.75" x14ac:dyDescent="0.25"/>
    <row r="705" s="39" customFormat="1" ht="12.75" x14ac:dyDescent="0.25"/>
    <row r="706" s="39" customFormat="1" ht="12.75" x14ac:dyDescent="0.25"/>
    <row r="707" s="39" customFormat="1" ht="12.75" x14ac:dyDescent="0.25"/>
    <row r="708" s="39" customFormat="1" ht="12.75" x14ac:dyDescent="0.25"/>
    <row r="709" s="39" customFormat="1" ht="12.75" x14ac:dyDescent="0.25"/>
    <row r="710" s="39" customFormat="1" ht="12.75" x14ac:dyDescent="0.25"/>
    <row r="711" s="39" customFormat="1" ht="12.75" x14ac:dyDescent="0.25"/>
    <row r="712" s="39" customFormat="1" ht="12.75" x14ac:dyDescent="0.25"/>
    <row r="713" s="39" customFormat="1" ht="12.75" x14ac:dyDescent="0.25"/>
    <row r="714" s="39" customFormat="1" ht="12.75" x14ac:dyDescent="0.25"/>
    <row r="715" s="39" customFormat="1" ht="12.75" x14ac:dyDescent="0.25"/>
    <row r="716" s="39" customFormat="1" ht="12.75" x14ac:dyDescent="0.25"/>
    <row r="717" s="39" customFormat="1" ht="12.75" x14ac:dyDescent="0.25"/>
    <row r="718" s="39" customFormat="1" ht="12.75" x14ac:dyDescent="0.25"/>
    <row r="719" s="39" customFormat="1" ht="12.75" x14ac:dyDescent="0.25"/>
    <row r="720" s="39" customFormat="1" ht="12.75" x14ac:dyDescent="0.25"/>
    <row r="721" s="39" customFormat="1" ht="12.75" x14ac:dyDescent="0.25"/>
    <row r="722" s="39" customFormat="1" ht="12.75" x14ac:dyDescent="0.25"/>
    <row r="723" s="39" customFormat="1" ht="12.75" x14ac:dyDescent="0.25"/>
    <row r="724" s="39" customFormat="1" ht="12.75" x14ac:dyDescent="0.25"/>
    <row r="725" s="39" customFormat="1" ht="12.75" x14ac:dyDescent="0.25"/>
    <row r="726" s="39" customFormat="1" ht="12.75" x14ac:dyDescent="0.25"/>
    <row r="727" s="39" customFormat="1" ht="12.75" x14ac:dyDescent="0.25"/>
    <row r="728" s="39" customFormat="1" ht="12.75" x14ac:dyDescent="0.25"/>
    <row r="729" s="39" customFormat="1" ht="12.75" x14ac:dyDescent="0.25"/>
    <row r="730" s="39" customFormat="1" ht="12.75" x14ac:dyDescent="0.25"/>
    <row r="731" s="39" customFormat="1" ht="12.75" x14ac:dyDescent="0.25"/>
    <row r="732" s="39" customFormat="1" ht="12.75" x14ac:dyDescent="0.25"/>
    <row r="733" s="39" customFormat="1" ht="12.75" x14ac:dyDescent="0.25"/>
    <row r="734" s="39" customFormat="1" ht="12.75" x14ac:dyDescent="0.25"/>
    <row r="735" s="39" customFormat="1" ht="12.75" x14ac:dyDescent="0.25"/>
    <row r="736" s="39" customFormat="1" ht="12.75" x14ac:dyDescent="0.25"/>
    <row r="737" s="39" customFormat="1" ht="12.75" x14ac:dyDescent="0.25"/>
    <row r="738" s="39" customFormat="1" ht="12.75" x14ac:dyDescent="0.25"/>
    <row r="739" s="39" customFormat="1" ht="12.75" x14ac:dyDescent="0.25"/>
    <row r="740" s="39" customFormat="1" ht="12.75" x14ac:dyDescent="0.25"/>
    <row r="741" s="39" customFormat="1" ht="12.75" x14ac:dyDescent="0.25"/>
    <row r="742" s="39" customFormat="1" ht="12.75" x14ac:dyDescent="0.25"/>
    <row r="743" s="39" customFormat="1" ht="12.75" x14ac:dyDescent="0.25"/>
    <row r="744" s="39" customFormat="1" ht="12.75" x14ac:dyDescent="0.25"/>
    <row r="745" s="39" customFormat="1" ht="12.75" x14ac:dyDescent="0.25"/>
    <row r="746" s="39" customFormat="1" ht="12.75" x14ac:dyDescent="0.25"/>
    <row r="747" s="39" customFormat="1" ht="12.75" x14ac:dyDescent="0.25"/>
    <row r="748" s="39" customFormat="1" ht="12.75" x14ac:dyDescent="0.25"/>
    <row r="749" s="39" customFormat="1" ht="12.75" x14ac:dyDescent="0.25"/>
    <row r="750" s="39" customFormat="1" ht="12.75" x14ac:dyDescent="0.25"/>
    <row r="751" s="39" customFormat="1" ht="12.75" x14ac:dyDescent="0.25"/>
    <row r="752" s="39" customFormat="1" ht="12.75" x14ac:dyDescent="0.25"/>
    <row r="753" s="39" customFormat="1" ht="12.75" x14ac:dyDescent="0.25"/>
    <row r="754" s="39" customFormat="1" ht="12.75" x14ac:dyDescent="0.25"/>
    <row r="755" s="39" customFormat="1" ht="12.75" x14ac:dyDescent="0.25"/>
    <row r="756" s="39" customFormat="1" ht="12.75" x14ac:dyDescent="0.25"/>
    <row r="757" s="39" customFormat="1" ht="12.75" x14ac:dyDescent="0.25"/>
    <row r="758" s="39" customFormat="1" ht="12.75" x14ac:dyDescent="0.25"/>
    <row r="759" s="39" customFormat="1" ht="12.75" x14ac:dyDescent="0.25"/>
    <row r="760" s="39" customFormat="1" ht="12.75" x14ac:dyDescent="0.25"/>
    <row r="761" s="39" customFormat="1" ht="12.75" x14ac:dyDescent="0.25"/>
    <row r="762" s="39" customFormat="1" ht="12.75" x14ac:dyDescent="0.25"/>
    <row r="763" s="39" customFormat="1" ht="12.75" x14ac:dyDescent="0.25"/>
    <row r="764" s="39" customFormat="1" ht="12.75" x14ac:dyDescent="0.25"/>
    <row r="765" s="39" customFormat="1" ht="12.75" x14ac:dyDescent="0.25"/>
    <row r="766" s="39" customFormat="1" ht="12.75" x14ac:dyDescent="0.25"/>
    <row r="767" s="39" customFormat="1" ht="12.75" x14ac:dyDescent="0.25"/>
    <row r="768" s="39" customFormat="1" ht="12.75" x14ac:dyDescent="0.25"/>
    <row r="769" s="39" customFormat="1" ht="12.75" x14ac:dyDescent="0.25"/>
    <row r="770" s="39" customFormat="1" ht="12.75" x14ac:dyDescent="0.25"/>
    <row r="771" s="39" customFormat="1" ht="12.75" x14ac:dyDescent="0.25"/>
    <row r="772" s="39" customFormat="1" ht="12.75" x14ac:dyDescent="0.25"/>
    <row r="773" s="39" customFormat="1" ht="12.75" x14ac:dyDescent="0.25"/>
    <row r="774" s="39" customFormat="1" ht="12.75" x14ac:dyDescent="0.25"/>
    <row r="775" s="39" customFormat="1" ht="12.75" x14ac:dyDescent="0.25"/>
    <row r="776" s="39" customFormat="1" ht="12.75" x14ac:dyDescent="0.25"/>
    <row r="777" s="39" customFormat="1" ht="12.75" x14ac:dyDescent="0.25"/>
    <row r="778" s="39" customFormat="1" ht="12.75" x14ac:dyDescent="0.25"/>
    <row r="779" s="39" customFormat="1" ht="12.75" x14ac:dyDescent="0.25"/>
    <row r="780" s="39" customFormat="1" ht="12.75" x14ac:dyDescent="0.25"/>
    <row r="781" s="39" customFormat="1" ht="12.75" x14ac:dyDescent="0.25"/>
    <row r="782" s="39" customFormat="1" ht="12.75" x14ac:dyDescent="0.25"/>
    <row r="783" s="39" customFormat="1" ht="12.75" x14ac:dyDescent="0.25"/>
    <row r="784" s="39" customFormat="1" ht="12.75" x14ac:dyDescent="0.25"/>
    <row r="785" s="39" customFormat="1" ht="12.75" x14ac:dyDescent="0.25"/>
    <row r="786" s="39" customFormat="1" ht="12.75" x14ac:dyDescent="0.25"/>
    <row r="787" s="39" customFormat="1" ht="12.75" x14ac:dyDescent="0.25"/>
    <row r="788" s="39" customFormat="1" ht="12.75" x14ac:dyDescent="0.25"/>
    <row r="789" s="39" customFormat="1" ht="12.75" x14ac:dyDescent="0.25"/>
    <row r="790" s="39" customFormat="1" ht="12.75" x14ac:dyDescent="0.25"/>
    <row r="791" s="39" customFormat="1" ht="12.75" x14ac:dyDescent="0.25"/>
    <row r="792" s="39" customFormat="1" ht="12.75" x14ac:dyDescent="0.25"/>
    <row r="793" s="39" customFormat="1" ht="12.75" x14ac:dyDescent="0.25"/>
    <row r="794" s="39" customFormat="1" ht="12.75" x14ac:dyDescent="0.25"/>
    <row r="795" s="39" customFormat="1" ht="12.75" x14ac:dyDescent="0.25"/>
    <row r="796" s="39" customFormat="1" ht="12.75" x14ac:dyDescent="0.25"/>
    <row r="797" s="39" customFormat="1" ht="12.75" x14ac:dyDescent="0.25"/>
    <row r="798" s="39" customFormat="1" ht="12.75" x14ac:dyDescent="0.25"/>
    <row r="799" s="39" customFormat="1" ht="12.75" x14ac:dyDescent="0.25"/>
    <row r="800" s="39" customFormat="1" ht="12.75" x14ac:dyDescent="0.25"/>
    <row r="801" s="39" customFormat="1" ht="12.75" x14ac:dyDescent="0.25"/>
    <row r="802" s="39" customFormat="1" ht="12.75" x14ac:dyDescent="0.25"/>
    <row r="803" s="39" customFormat="1" ht="12.75" x14ac:dyDescent="0.25"/>
    <row r="804" s="39" customFormat="1" ht="12.75" x14ac:dyDescent="0.25"/>
    <row r="805" s="39" customFormat="1" ht="12.75" x14ac:dyDescent="0.25"/>
    <row r="806" s="39" customFormat="1" ht="12.75" x14ac:dyDescent="0.25"/>
    <row r="807" s="39" customFormat="1" ht="12.75" x14ac:dyDescent="0.25"/>
    <row r="808" s="39" customFormat="1" ht="12.75" x14ac:dyDescent="0.25"/>
    <row r="809" s="39" customFormat="1" ht="12.75" x14ac:dyDescent="0.25"/>
    <row r="810" s="39" customFormat="1" ht="12.75" x14ac:dyDescent="0.25"/>
    <row r="811" s="39" customFormat="1" ht="12.75" x14ac:dyDescent="0.25"/>
    <row r="812" s="39" customFormat="1" ht="12.75" x14ac:dyDescent="0.25"/>
    <row r="813" s="39" customFormat="1" ht="12.75" x14ac:dyDescent="0.25"/>
    <row r="814" s="39" customFormat="1" ht="12.75" x14ac:dyDescent="0.25"/>
    <row r="815" s="39" customFormat="1" ht="12.75" x14ac:dyDescent="0.25"/>
    <row r="816" s="39" customFormat="1" ht="12.75" x14ac:dyDescent="0.25"/>
    <row r="817" s="39" customFormat="1" ht="12.75" x14ac:dyDescent="0.25"/>
    <row r="818" s="39" customFormat="1" ht="12.75" x14ac:dyDescent="0.25"/>
    <row r="819" s="39" customFormat="1" ht="12.75" x14ac:dyDescent="0.25"/>
    <row r="820" s="39" customFormat="1" ht="12.75" x14ac:dyDescent="0.25"/>
    <row r="821" s="39" customFormat="1" ht="12.75" x14ac:dyDescent="0.25"/>
    <row r="822" s="39" customFormat="1" ht="12.75" x14ac:dyDescent="0.25"/>
    <row r="823" s="39" customFormat="1" ht="12.75" x14ac:dyDescent="0.25"/>
    <row r="824" s="39" customFormat="1" ht="12.75" x14ac:dyDescent="0.25"/>
    <row r="825" s="39" customFormat="1" ht="12.75" x14ac:dyDescent="0.25"/>
    <row r="826" s="39" customFormat="1" ht="12.75" x14ac:dyDescent="0.25"/>
    <row r="827" s="39" customFormat="1" ht="12.75" x14ac:dyDescent="0.25"/>
    <row r="828" s="39" customFormat="1" ht="12.75" x14ac:dyDescent="0.25"/>
    <row r="829" s="39" customFormat="1" ht="12.75" x14ac:dyDescent="0.25"/>
    <row r="830" s="39" customFormat="1" ht="12.75" x14ac:dyDescent="0.25"/>
    <row r="831" s="39" customFormat="1" ht="12.75" x14ac:dyDescent="0.25"/>
    <row r="832" s="39" customFormat="1" ht="12.75" x14ac:dyDescent="0.25"/>
    <row r="833" s="39" customFormat="1" ht="12.75" x14ac:dyDescent="0.25"/>
    <row r="834" s="39" customFormat="1" ht="12.75" x14ac:dyDescent="0.25"/>
    <row r="835" s="39" customFormat="1" ht="12.75" x14ac:dyDescent="0.25"/>
    <row r="836" s="39" customFormat="1" ht="12.75" x14ac:dyDescent="0.25"/>
    <row r="837" s="39" customFormat="1" ht="12.75" x14ac:dyDescent="0.25"/>
    <row r="838" s="39" customFormat="1" ht="12.75" x14ac:dyDescent="0.25"/>
    <row r="839" s="39" customFormat="1" ht="12.75" x14ac:dyDescent="0.25"/>
    <row r="840" s="39" customFormat="1" ht="12.75" x14ac:dyDescent="0.25"/>
    <row r="841" s="39" customFormat="1" ht="12.75" x14ac:dyDescent="0.25"/>
    <row r="842" s="39" customFormat="1" ht="12.75" x14ac:dyDescent="0.25"/>
    <row r="843" s="39" customFormat="1" ht="12.75" x14ac:dyDescent="0.25"/>
    <row r="844" s="39" customFormat="1" ht="12.75" x14ac:dyDescent="0.25"/>
    <row r="845" s="39" customFormat="1" ht="12.75" x14ac:dyDescent="0.25"/>
    <row r="846" s="39" customFormat="1" ht="12.75" x14ac:dyDescent="0.25"/>
    <row r="847" s="39" customFormat="1" ht="12.75" x14ac:dyDescent="0.25"/>
    <row r="848" s="39" customFormat="1" ht="12.75" x14ac:dyDescent="0.25"/>
    <row r="849" s="39" customFormat="1" ht="12.75" x14ac:dyDescent="0.25"/>
    <row r="850" s="39" customFormat="1" ht="12.75" x14ac:dyDescent="0.25"/>
    <row r="851" s="39" customFormat="1" ht="12.75" x14ac:dyDescent="0.25"/>
    <row r="852" s="39" customFormat="1" ht="12.75" x14ac:dyDescent="0.25"/>
    <row r="853" s="39" customFormat="1" ht="12.75" x14ac:dyDescent="0.25"/>
    <row r="854" s="39" customFormat="1" ht="12.75" x14ac:dyDescent="0.25"/>
    <row r="855" s="39" customFormat="1" ht="12.75" x14ac:dyDescent="0.25"/>
    <row r="856" s="39" customFormat="1" ht="12.75" x14ac:dyDescent="0.25"/>
    <row r="857" s="39" customFormat="1" ht="12.75" x14ac:dyDescent="0.25"/>
    <row r="858" s="39" customFormat="1" ht="12.75" x14ac:dyDescent="0.25"/>
    <row r="859" s="39" customFormat="1" ht="12.75" x14ac:dyDescent="0.25"/>
    <row r="860" s="39" customFormat="1" ht="12.75" x14ac:dyDescent="0.25"/>
    <row r="861" s="39" customFormat="1" ht="12.75" x14ac:dyDescent="0.25"/>
    <row r="862" s="39" customFormat="1" ht="12.75" x14ac:dyDescent="0.25"/>
    <row r="863" s="39" customFormat="1" ht="12.75" x14ac:dyDescent="0.25"/>
    <row r="864" s="39" customFormat="1" ht="12.75" x14ac:dyDescent="0.25"/>
    <row r="865" s="39" customFormat="1" ht="12.75" x14ac:dyDescent="0.25"/>
    <row r="866" s="39" customFormat="1" ht="12.75" x14ac:dyDescent="0.25"/>
    <row r="867" s="39" customFormat="1" ht="12.75" x14ac:dyDescent="0.25"/>
    <row r="868" s="39" customFormat="1" ht="12.75" x14ac:dyDescent="0.25"/>
    <row r="869" s="39" customFormat="1" ht="12.75" x14ac:dyDescent="0.25"/>
    <row r="870" s="39" customFormat="1" ht="12.75" x14ac:dyDescent="0.25"/>
    <row r="871" s="39" customFormat="1" ht="12.75" x14ac:dyDescent="0.25"/>
    <row r="872" s="39" customFormat="1" ht="12.75" x14ac:dyDescent="0.25"/>
    <row r="873" s="39" customFormat="1" ht="12.75" x14ac:dyDescent="0.25"/>
    <row r="874" s="39" customFormat="1" ht="12.75" x14ac:dyDescent="0.25"/>
    <row r="875" s="39" customFormat="1" ht="12.75" x14ac:dyDescent="0.25"/>
    <row r="876" s="39" customFormat="1" ht="12.75" x14ac:dyDescent="0.25"/>
    <row r="877" s="39" customFormat="1" ht="12.75" x14ac:dyDescent="0.25"/>
    <row r="878" s="39" customFormat="1" ht="12.75" x14ac:dyDescent="0.25"/>
    <row r="879" s="39" customFormat="1" ht="12.75" x14ac:dyDescent="0.25"/>
    <row r="880" s="39" customFormat="1" ht="12.75" x14ac:dyDescent="0.25"/>
    <row r="881" s="39" customFormat="1" ht="12.75" x14ac:dyDescent="0.25"/>
    <row r="882" s="39" customFormat="1" ht="12.75" x14ac:dyDescent="0.25"/>
    <row r="883" s="39" customFormat="1" ht="12.75" x14ac:dyDescent="0.25"/>
    <row r="884" s="39" customFormat="1" ht="12.75" x14ac:dyDescent="0.25"/>
    <row r="885" s="39" customFormat="1" ht="12.75" x14ac:dyDescent="0.25"/>
    <row r="886" s="39" customFormat="1" ht="12.75" x14ac:dyDescent="0.25"/>
    <row r="887" s="39" customFormat="1" ht="12.75" x14ac:dyDescent="0.25"/>
    <row r="888" s="39" customFormat="1" ht="12.75" x14ac:dyDescent="0.25"/>
    <row r="889" s="39" customFormat="1" ht="12.75" x14ac:dyDescent="0.25"/>
    <row r="890" s="39" customFormat="1" ht="12.75" x14ac:dyDescent="0.25"/>
    <row r="891" s="39" customFormat="1" ht="12.75" x14ac:dyDescent="0.25"/>
    <row r="892" s="39" customFormat="1" ht="12.75" x14ac:dyDescent="0.25"/>
    <row r="893" s="39" customFormat="1" ht="12.75" x14ac:dyDescent="0.25"/>
    <row r="894" s="39" customFormat="1" ht="12.75" x14ac:dyDescent="0.25"/>
    <row r="895" s="39" customFormat="1" ht="12.75" x14ac:dyDescent="0.25"/>
    <row r="896" s="39" customFormat="1" ht="12.75" x14ac:dyDescent="0.25"/>
    <row r="897" s="39" customFormat="1" ht="12.75" x14ac:dyDescent="0.25"/>
    <row r="898" s="39" customFormat="1" ht="12.75" x14ac:dyDescent="0.25"/>
    <row r="899" s="39" customFormat="1" ht="12.75" x14ac:dyDescent="0.25"/>
    <row r="900" s="39" customFormat="1" ht="12.75" x14ac:dyDescent="0.25"/>
    <row r="901" s="39" customFormat="1" ht="12.75" x14ac:dyDescent="0.25"/>
    <row r="902" s="39" customFormat="1" ht="12.75" x14ac:dyDescent="0.25"/>
    <row r="903" s="39" customFormat="1" ht="12.75" x14ac:dyDescent="0.25"/>
    <row r="904" s="39" customFormat="1" ht="12.75" x14ac:dyDescent="0.25"/>
    <row r="905" s="39" customFormat="1" ht="12.75" x14ac:dyDescent="0.25"/>
    <row r="906" s="39" customFormat="1" ht="12.75" x14ac:dyDescent="0.25"/>
    <row r="907" s="39" customFormat="1" ht="12.75" x14ac:dyDescent="0.25"/>
    <row r="908" s="39" customFormat="1" ht="12.75" x14ac:dyDescent="0.25"/>
    <row r="909" s="39" customFormat="1" ht="12.75" x14ac:dyDescent="0.25"/>
    <row r="910" s="39" customFormat="1" ht="12.75" x14ac:dyDescent="0.25"/>
    <row r="911" s="39" customFormat="1" ht="12.75" x14ac:dyDescent="0.25"/>
    <row r="912" s="39" customFormat="1" ht="12.75" x14ac:dyDescent="0.25"/>
    <row r="913" s="39" customFormat="1" ht="12.75" x14ac:dyDescent="0.25"/>
    <row r="914" s="39" customFormat="1" ht="12.75" x14ac:dyDescent="0.25"/>
    <row r="915" s="39" customFormat="1" ht="12.75" x14ac:dyDescent="0.25"/>
    <row r="916" s="39" customFormat="1" ht="12.75" x14ac:dyDescent="0.25"/>
    <row r="917" s="39" customFormat="1" ht="12.75" x14ac:dyDescent="0.25"/>
    <row r="918" s="39" customFormat="1" ht="12.75" x14ac:dyDescent="0.25"/>
    <row r="919" s="39" customFormat="1" ht="12.75" x14ac:dyDescent="0.25"/>
    <row r="920" s="39" customFormat="1" ht="12.75" x14ac:dyDescent="0.25"/>
    <row r="921" s="39" customFormat="1" ht="12.75" x14ac:dyDescent="0.25"/>
    <row r="922" s="39" customFormat="1" ht="12.75" x14ac:dyDescent="0.25"/>
    <row r="923" s="39" customFormat="1" ht="12.75" x14ac:dyDescent="0.25"/>
    <row r="924" s="39" customFormat="1" ht="12.75" x14ac:dyDescent="0.25"/>
    <row r="925" s="39" customFormat="1" ht="12.75" x14ac:dyDescent="0.25"/>
    <row r="926" s="39" customFormat="1" ht="12.75" x14ac:dyDescent="0.25"/>
    <row r="927" s="39" customFormat="1" ht="12.75" x14ac:dyDescent="0.25"/>
    <row r="928" s="39" customFormat="1" ht="12.75" x14ac:dyDescent="0.25"/>
    <row r="929" s="39" customFormat="1" ht="12.75" x14ac:dyDescent="0.25"/>
    <row r="930" s="39" customFormat="1" ht="12.75" x14ac:dyDescent="0.25"/>
    <row r="931" s="39" customFormat="1" ht="12.75" x14ac:dyDescent="0.25"/>
    <row r="932" s="39" customFormat="1" ht="12.75" x14ac:dyDescent="0.25"/>
    <row r="933" s="39" customFormat="1" ht="12.75" x14ac:dyDescent="0.25"/>
    <row r="934" s="39" customFormat="1" ht="12.75" x14ac:dyDescent="0.25"/>
    <row r="935" s="39" customFormat="1" ht="12.75" x14ac:dyDescent="0.25"/>
    <row r="936" s="39" customFormat="1" ht="12.75" x14ac:dyDescent="0.25"/>
    <row r="937" s="39" customFormat="1" ht="12.75" x14ac:dyDescent="0.25"/>
    <row r="938" s="39" customFormat="1" ht="12.75" x14ac:dyDescent="0.25"/>
    <row r="939" s="39" customFormat="1" ht="12.75" x14ac:dyDescent="0.25"/>
    <row r="940" s="39" customFormat="1" ht="12.75" x14ac:dyDescent="0.25"/>
    <row r="941" s="39" customFormat="1" ht="12.75" x14ac:dyDescent="0.25"/>
    <row r="942" s="39" customFormat="1" ht="12.75" x14ac:dyDescent="0.25"/>
    <row r="943" s="39" customFormat="1" ht="12.75" x14ac:dyDescent="0.25"/>
    <row r="944" s="39" customFormat="1" ht="12.75" x14ac:dyDescent="0.25"/>
    <row r="945" s="39" customFormat="1" ht="12.75" x14ac:dyDescent="0.25"/>
    <row r="946" s="39" customFormat="1" ht="12.75" x14ac:dyDescent="0.25"/>
    <row r="947" s="39" customFormat="1" ht="12.75" x14ac:dyDescent="0.25"/>
    <row r="948" s="39" customFormat="1" ht="12.75" x14ac:dyDescent="0.25"/>
    <row r="949" s="39" customFormat="1" ht="12.75" x14ac:dyDescent="0.25"/>
    <row r="950" s="39" customFormat="1" ht="12.75" x14ac:dyDescent="0.25"/>
    <row r="951" s="39" customFormat="1" ht="12.75" x14ac:dyDescent="0.25"/>
    <row r="952" s="39" customFormat="1" ht="12.75" x14ac:dyDescent="0.25"/>
    <row r="953" s="39" customFormat="1" ht="12.75" x14ac:dyDescent="0.25"/>
    <row r="954" s="39" customFormat="1" ht="12.75" x14ac:dyDescent="0.25"/>
    <row r="955" s="39" customFormat="1" ht="12.75" x14ac:dyDescent="0.25"/>
    <row r="956" s="39" customFormat="1" ht="12.75" x14ac:dyDescent="0.25"/>
    <row r="957" s="39" customFormat="1" ht="12.75" x14ac:dyDescent="0.25"/>
    <row r="958" s="39" customFormat="1" ht="12.75" x14ac:dyDescent="0.25"/>
    <row r="959" s="39" customFormat="1" ht="12.75" x14ac:dyDescent="0.25"/>
    <row r="960" s="39" customFormat="1" ht="12.75" x14ac:dyDescent="0.25"/>
    <row r="961" s="39" customFormat="1" ht="12.75" x14ac:dyDescent="0.25"/>
    <row r="962" s="39" customFormat="1" ht="12.75" x14ac:dyDescent="0.25"/>
    <row r="963" s="39" customFormat="1" ht="12.75" x14ac:dyDescent="0.25"/>
    <row r="964" s="39" customFormat="1" ht="12.75" x14ac:dyDescent="0.25"/>
    <row r="965" s="39" customFormat="1" ht="12.75" x14ac:dyDescent="0.25"/>
    <row r="966" s="39" customFormat="1" ht="12.75" x14ac:dyDescent="0.25"/>
    <row r="967" s="39" customFormat="1" ht="12.75" x14ac:dyDescent="0.25"/>
    <row r="968" s="39" customFormat="1" ht="12.75" x14ac:dyDescent="0.25"/>
    <row r="969" s="39" customFormat="1" ht="12.75" x14ac:dyDescent="0.25"/>
    <row r="970" s="39" customFormat="1" ht="12.75" x14ac:dyDescent="0.25"/>
    <row r="971" s="39" customFormat="1" ht="12.75" x14ac:dyDescent="0.25"/>
    <row r="972" s="39" customFormat="1" ht="12.75" x14ac:dyDescent="0.25"/>
    <row r="973" s="39" customFormat="1" ht="12.75" x14ac:dyDescent="0.25"/>
    <row r="974" s="39" customFormat="1" ht="12.75" x14ac:dyDescent="0.25"/>
    <row r="975" s="39" customFormat="1" ht="12.75" x14ac:dyDescent="0.25"/>
    <row r="976" s="39" customFormat="1" ht="12.75" x14ac:dyDescent="0.25"/>
    <row r="977" s="39" customFormat="1" ht="12.75" x14ac:dyDescent="0.25"/>
    <row r="978" s="39" customFormat="1" ht="12.75" x14ac:dyDescent="0.25"/>
    <row r="979" s="39" customFormat="1" ht="12.75" x14ac:dyDescent="0.25"/>
    <row r="980" s="39" customFormat="1" ht="12.75" x14ac:dyDescent="0.25"/>
    <row r="981" s="39" customFormat="1" ht="12.75" x14ac:dyDescent="0.25"/>
    <row r="982" s="39" customFormat="1" ht="12.75" x14ac:dyDescent="0.25"/>
    <row r="983" s="39" customFormat="1" ht="12.75" x14ac:dyDescent="0.25"/>
    <row r="984" s="39" customFormat="1" ht="12.75" x14ac:dyDescent="0.25"/>
    <row r="985" s="39" customFormat="1" ht="12.75" x14ac:dyDescent="0.25"/>
    <row r="986" s="39" customFormat="1" ht="12.75" x14ac:dyDescent="0.25"/>
    <row r="987" s="39" customFormat="1" ht="12.75" x14ac:dyDescent="0.25"/>
    <row r="988" s="39" customFormat="1" ht="12.75" x14ac:dyDescent="0.25"/>
    <row r="989" s="39" customFormat="1" ht="12.75" x14ac:dyDescent="0.25"/>
    <row r="990" s="39" customFormat="1" ht="12.75" x14ac:dyDescent="0.25"/>
    <row r="991" s="39" customFormat="1" ht="12.75" x14ac:dyDescent="0.25"/>
    <row r="992" s="39" customFormat="1" ht="12.75" x14ac:dyDescent="0.25"/>
    <row r="993" s="39" customFormat="1" ht="12.75" x14ac:dyDescent="0.25"/>
    <row r="994" s="39" customFormat="1" ht="12.75" x14ac:dyDescent="0.25"/>
    <row r="995" s="39" customFormat="1" ht="12.75" x14ac:dyDescent="0.25"/>
    <row r="996" s="39" customFormat="1" ht="12.75" x14ac:dyDescent="0.25"/>
    <row r="997" s="39" customFormat="1" ht="12.75" x14ac:dyDescent="0.25"/>
    <row r="998" s="39" customFormat="1" ht="12.75" x14ac:dyDescent="0.25"/>
    <row r="999" s="39" customFormat="1" ht="12.75" x14ac:dyDescent="0.25"/>
    <row r="1000" s="39" customFormat="1" ht="12.75" x14ac:dyDescent="0.25"/>
    <row r="1001" s="39" customFormat="1" ht="12.75" x14ac:dyDescent="0.25"/>
    <row r="1002" s="39" customFormat="1" ht="12.75" x14ac:dyDescent="0.25"/>
    <row r="1003" s="39" customFormat="1" ht="12.75" x14ac:dyDescent="0.25"/>
    <row r="1004" s="39" customFormat="1" ht="12.75" x14ac:dyDescent="0.25"/>
    <row r="1005" s="39" customFormat="1" ht="12.75" x14ac:dyDescent="0.25"/>
    <row r="1006" s="39" customFormat="1" ht="12.75" x14ac:dyDescent="0.25"/>
    <row r="1007" s="39" customFormat="1" ht="12.75" x14ac:dyDescent="0.25"/>
    <row r="1008" s="39" customFormat="1" ht="12.75" x14ac:dyDescent="0.25"/>
    <row r="1009" s="39" customFormat="1" ht="12.75" x14ac:dyDescent="0.25"/>
    <row r="1010" s="39" customFormat="1" ht="12.75" x14ac:dyDescent="0.25"/>
    <row r="1011" s="39" customFormat="1" ht="12.75" x14ac:dyDescent="0.25"/>
    <row r="1012" s="39" customFormat="1" ht="12.75" x14ac:dyDescent="0.25"/>
    <row r="1013" s="39" customFormat="1" ht="12.75" x14ac:dyDescent="0.25"/>
    <row r="1014" s="39" customFormat="1" ht="12.75" x14ac:dyDescent="0.25"/>
    <row r="1015" s="39" customFormat="1" ht="12.75" x14ac:dyDescent="0.25"/>
    <row r="1016" s="39" customFormat="1" ht="12.75" x14ac:dyDescent="0.25"/>
    <row r="1017" s="39" customFormat="1" ht="12.75" x14ac:dyDescent="0.25"/>
    <row r="1018" s="39" customFormat="1" ht="12.75" x14ac:dyDescent="0.25"/>
    <row r="1019" s="39" customFormat="1" ht="12.75" x14ac:dyDescent="0.25"/>
    <row r="1020" s="39" customFormat="1" ht="12.75" x14ac:dyDescent="0.25"/>
    <row r="1021" s="39" customFormat="1" ht="12.75" x14ac:dyDescent="0.25"/>
    <row r="1022" s="39" customFormat="1" ht="12.75" x14ac:dyDescent="0.25"/>
    <row r="1023" s="39" customFormat="1" ht="12.75" x14ac:dyDescent="0.25"/>
    <row r="1024" s="39" customFormat="1" ht="12.75" x14ac:dyDescent="0.25"/>
    <row r="1025" s="39" customFormat="1" ht="12.75" x14ac:dyDescent="0.25"/>
    <row r="1026" s="39" customFormat="1" ht="12.75" x14ac:dyDescent="0.25"/>
    <row r="1027" s="39" customFormat="1" ht="12.75" x14ac:dyDescent="0.25"/>
    <row r="1028" s="39" customFormat="1" ht="12.75" x14ac:dyDescent="0.25"/>
    <row r="1029" s="39" customFormat="1" ht="12.75" x14ac:dyDescent="0.25"/>
    <row r="1030" s="39" customFormat="1" ht="12.75" x14ac:dyDescent="0.25"/>
    <row r="1031" s="39" customFormat="1" ht="12.75" x14ac:dyDescent="0.25"/>
    <row r="1032" s="39" customFormat="1" ht="12.75" x14ac:dyDescent="0.25"/>
    <row r="1033" s="39" customFormat="1" ht="12.75" x14ac:dyDescent="0.25"/>
    <row r="1034" s="39" customFormat="1" ht="12.75" x14ac:dyDescent="0.25"/>
    <row r="1035" s="39" customFormat="1" ht="12.75" x14ac:dyDescent="0.25"/>
    <row r="1036" s="39" customFormat="1" ht="12.75" x14ac:dyDescent="0.25"/>
    <row r="1037" s="39" customFormat="1" ht="12.75" x14ac:dyDescent="0.25"/>
    <row r="1038" s="39" customFormat="1" ht="12.75" x14ac:dyDescent="0.25"/>
    <row r="1039" s="39" customFormat="1" ht="12.75" x14ac:dyDescent="0.25"/>
    <row r="1040" s="39" customFormat="1" ht="12.75" x14ac:dyDescent="0.25"/>
    <row r="1041" s="39" customFormat="1" ht="12.75" x14ac:dyDescent="0.25"/>
    <row r="1042" s="39" customFormat="1" ht="12.75" x14ac:dyDescent="0.25"/>
    <row r="1043" s="39" customFormat="1" ht="12.75" x14ac:dyDescent="0.25"/>
    <row r="1044" s="39" customFormat="1" ht="12.75" x14ac:dyDescent="0.25"/>
    <row r="1045" s="39" customFormat="1" ht="12.75" x14ac:dyDescent="0.25"/>
    <row r="1046" s="39" customFormat="1" ht="12.75" x14ac:dyDescent="0.25"/>
    <row r="1047" s="39" customFormat="1" ht="12.75" x14ac:dyDescent="0.25"/>
    <row r="1048" s="39" customFormat="1" ht="12.75" x14ac:dyDescent="0.25"/>
    <row r="1049" s="39" customFormat="1" ht="12.75" x14ac:dyDescent="0.25"/>
    <row r="1050" s="39" customFormat="1" ht="12.75" x14ac:dyDescent="0.25"/>
    <row r="1051" s="39" customFormat="1" ht="12.75" x14ac:dyDescent="0.25"/>
    <row r="1052" s="39" customFormat="1" ht="12.75" x14ac:dyDescent="0.25"/>
    <row r="1053" s="39" customFormat="1" ht="12.75" x14ac:dyDescent="0.25"/>
    <row r="1054" s="39" customFormat="1" ht="12.75" x14ac:dyDescent="0.25"/>
    <row r="1055" s="39" customFormat="1" ht="12.75" x14ac:dyDescent="0.25"/>
    <row r="1056" s="39" customFormat="1" ht="12.75" x14ac:dyDescent="0.25"/>
    <row r="1057" s="39" customFormat="1" ht="12.75" x14ac:dyDescent="0.25"/>
    <row r="1058" s="39" customFormat="1" ht="12.75" x14ac:dyDescent="0.25"/>
    <row r="1059" s="39" customFormat="1" ht="12.75" x14ac:dyDescent="0.25"/>
    <row r="1060" s="39" customFormat="1" ht="12.75" x14ac:dyDescent="0.25"/>
    <row r="1061" s="39" customFormat="1" ht="12.75" x14ac:dyDescent="0.25"/>
    <row r="1062" s="39" customFormat="1" ht="12.75" x14ac:dyDescent="0.25"/>
  </sheetData>
  <sheetProtection sheet="1" objects="1" scenarios="1" formatCells="0" formatColumns="0" formatRows="0"/>
  <autoFilter ref="A4:AQ10" xr:uid="{4F2846AF-725A-4C20-88D8-E67AA4B06A0C}"/>
  <mergeCells count="19">
    <mergeCell ref="F2:G3"/>
    <mergeCell ref="H2:M2"/>
    <mergeCell ref="N2:S2"/>
    <mergeCell ref="T2:Y2"/>
    <mergeCell ref="Z2:AE2"/>
    <mergeCell ref="AL3:AO3"/>
    <mergeCell ref="AP3:AQ3"/>
    <mergeCell ref="AL2:AQ2"/>
    <mergeCell ref="H3:K3"/>
    <mergeCell ref="L3:M3"/>
    <mergeCell ref="N3:Q3"/>
    <mergeCell ref="R3:S3"/>
    <mergeCell ref="T3:W3"/>
    <mergeCell ref="X3:Y3"/>
    <mergeCell ref="Z3:AC3"/>
    <mergeCell ref="AD3:AE3"/>
    <mergeCell ref="AF3:AI3"/>
    <mergeCell ref="AF2:AK2"/>
    <mergeCell ref="AJ3:AK3"/>
  </mergeCells>
  <conditionalFormatting sqref="H11:S11">
    <cfRule type="cellIs" dxfId="20" priority="1" operator="between">
      <formula>10</formula>
      <formula>9999.999</formula>
    </cfRule>
    <cfRule type="cellIs" dxfId="19" priority="2" operator="greaterThanOrEqual">
      <formula>10000</formula>
    </cfRule>
    <cfRule type="cellIs" dxfId="18" priority="3" operator="lessThan">
      <formula>0.1</formula>
    </cfRule>
  </conditionalFormatting>
  <conditionalFormatting sqref="H5:AQ10">
    <cfRule type="cellIs" dxfId="17" priority="67" operator="between">
      <formula>10</formula>
      <formula>9999.999</formula>
    </cfRule>
    <cfRule type="cellIs" dxfId="16" priority="68" operator="greaterThanOrEqual">
      <formula>10000</formula>
    </cfRule>
    <cfRule type="cellIs" dxfId="15" priority="69" operator="lessThan">
      <formula>0.1</formula>
    </cfRule>
  </conditionalFormatting>
  <conditionalFormatting sqref="Y5:Y10 AE5:AE10 AK5:AK10 M5:M11 S5:S11 AQ5:AQ11">
    <cfRule type="cellIs" dxfId="12" priority="72" operator="lessThan">
      <formula>100</formula>
    </cfRule>
  </conditionalFormatting>
  <conditionalFormatting sqref="AL11:AQ11">
    <cfRule type="cellIs" dxfId="11" priority="13" operator="between">
      <formula>10</formula>
      <formula>9999.999</formula>
    </cfRule>
    <cfRule type="cellIs" dxfId="10" priority="14" operator="greaterThanOrEqual">
      <formula>10000</formula>
    </cfRule>
    <cfRule type="cellIs" dxfId="9" priority="15" operator="lessThan">
      <formula>0.1</formula>
    </cfRule>
  </conditionalFormatting>
  <pageMargins left="0.7" right="0.7" top="0.75" bottom="0.75" header="0.3" footer="0.3"/>
  <pageSetup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lessThan" id="{8E309E97-3D28-4A15-8C5F-37EB788966B9}">
            <xm:f>'Exposure Inputs'!$F$64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m:sqref>X5:X10 AD5:AD10 AJ5:AJ10 L5:L11 R5:R11 AP5:AP11</xm:sqref>
        </x14:conditionalFormatting>
        <x14:conditionalFormatting xmlns:xm="http://schemas.microsoft.com/office/excel/2006/main">
          <x14:cfRule type="cellIs" priority="70" operator="lessThan" id="{461992B5-E280-4C72-88BE-CC03DDD2ADAE}">
            <xm:f>'Exposure Inputs'!$F$65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m:sqref>Y5:Y10 AE5:AE10 AK5:AK10 M5:M11 S5:S11 AQ5:AQ11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52F15-333B-459B-B25A-1639B9833C28}">
  <dimension ref="A1:K10"/>
  <sheetViews>
    <sheetView topLeftCell="A4" zoomScale="120" zoomScaleNormal="120" workbookViewId="0">
      <selection activeCell="A6" sqref="A6"/>
    </sheetView>
  </sheetViews>
  <sheetFormatPr defaultColWidth="8.42578125" defaultRowHeight="15" x14ac:dyDescent="0.25"/>
  <cols>
    <col min="1" max="1" width="18.42578125" customWidth="1"/>
    <col min="2" max="2" width="13.42578125" customWidth="1"/>
    <col min="3" max="3" width="14.42578125" customWidth="1"/>
    <col min="4" max="9" width="11.42578125" customWidth="1"/>
  </cols>
  <sheetData>
    <row r="1" spans="1:11" ht="28.5" customHeight="1" x14ac:dyDescent="0.25">
      <c r="B1" s="43" t="s">
        <v>252</v>
      </c>
    </row>
    <row r="2" spans="1:11" s="39" customFormat="1" ht="20.45" customHeight="1" x14ac:dyDescent="0.25">
      <c r="B2" s="103" t="s">
        <v>223</v>
      </c>
      <c r="C2" s="103"/>
      <c r="D2" s="104" t="s">
        <v>224</v>
      </c>
      <c r="E2" s="104"/>
      <c r="F2" s="101" t="s">
        <v>227</v>
      </c>
      <c r="G2" s="101"/>
      <c r="H2" s="101" t="s">
        <v>228</v>
      </c>
      <c r="I2" s="101"/>
    </row>
    <row r="3" spans="1:11" s="39" customFormat="1" ht="20.25" customHeight="1" x14ac:dyDescent="0.25">
      <c r="B3" s="103"/>
      <c r="C3" s="103"/>
      <c r="D3" s="83" t="s">
        <v>230</v>
      </c>
      <c r="E3" s="83" t="s">
        <v>231</v>
      </c>
      <c r="F3" s="82" t="s">
        <v>230</v>
      </c>
      <c r="G3" s="82" t="s">
        <v>231</v>
      </c>
      <c r="H3" s="82" t="s">
        <v>230</v>
      </c>
      <c r="I3" s="82" t="s">
        <v>231</v>
      </c>
    </row>
    <row r="4" spans="1:11" s="39" customFormat="1" ht="51.75" customHeight="1" x14ac:dyDescent="0.25">
      <c r="A4" s="40" t="s">
        <v>232</v>
      </c>
      <c r="B4" s="40" t="s">
        <v>238</v>
      </c>
      <c r="C4" s="40" t="s">
        <v>237</v>
      </c>
      <c r="D4" s="38" t="s">
        <v>239</v>
      </c>
      <c r="E4" s="38" t="s">
        <v>243</v>
      </c>
      <c r="F4" s="40" t="s">
        <v>239</v>
      </c>
      <c r="G4" s="40" t="s">
        <v>243</v>
      </c>
      <c r="H4" s="40" t="s">
        <v>239</v>
      </c>
      <c r="I4" s="40" t="s">
        <v>243</v>
      </c>
    </row>
    <row r="5" spans="1:11" s="39" customFormat="1" ht="25.5" x14ac:dyDescent="0.25">
      <c r="A5" s="48" t="s">
        <v>253</v>
      </c>
      <c r="B5" s="55">
        <v>1940</v>
      </c>
      <c r="C5" s="55">
        <v>1110</v>
      </c>
      <c r="D5" s="41">
        <f>($B5*'Exposure Inputs'!$C$41*'Exposure Inputs'!$C$45/'Exposure Inputs'!$C$39)</f>
        <v>6.6930000000000002E-3</v>
      </c>
      <c r="E5" s="41">
        <f>'Exposure Inputs'!$E$64/$D5</f>
        <v>2973.2556402211262</v>
      </c>
      <c r="F5" s="41">
        <f>($B5*'Exposure Inputs'!$D$41*'Exposure Inputs'!$C$45/'Exposure Inputs'!$D$39)</f>
        <v>1.0383098591549296E-2</v>
      </c>
      <c r="G5" s="61">
        <f>'Exposure Inputs'!$E$64/$F5</f>
        <v>1916.5762344004338</v>
      </c>
      <c r="H5" s="61">
        <f>($B5*'Exposure Inputs'!$E$41*'Exposure Inputs'!$C$45/'Exposure Inputs'!$E$39)</f>
        <v>5.8566037735849064E-3</v>
      </c>
      <c r="I5" s="61">
        <f>'Exposure Inputs'!$E$64/$H5</f>
        <v>3397.8737113402053</v>
      </c>
      <c r="K5" s="41"/>
    </row>
    <row r="6" spans="1:11" s="39" customFormat="1" ht="76.5" x14ac:dyDescent="0.25">
      <c r="A6" s="48" t="s">
        <v>667</v>
      </c>
      <c r="B6" s="55">
        <v>2610</v>
      </c>
      <c r="C6" s="55">
        <v>1380</v>
      </c>
      <c r="D6" s="41">
        <f>($B6*'Exposure Inputs'!$C$41*'Exposure Inputs'!$C$45/'Exposure Inputs'!$C$39)</f>
        <v>9.0045000000000004E-3</v>
      </c>
      <c r="E6" s="41">
        <f>'Exposure Inputs'!$E$64/$D6</f>
        <v>2210.0061080570822</v>
      </c>
      <c r="F6" s="41">
        <f>($B6*'Exposure Inputs'!$D$41*'Exposure Inputs'!$C$45/'Exposure Inputs'!$D$39)</f>
        <v>1.3969014084507042E-2</v>
      </c>
      <c r="G6" s="61">
        <f>'Exposure Inputs'!$E$64/$F6</f>
        <v>1424.5815688646903</v>
      </c>
      <c r="H6" s="61">
        <f>($B6*'Exposure Inputs'!$E$41*'Exposure Inputs'!$C$45/'Exposure Inputs'!$E$39)</f>
        <v>7.8792452830188688E-3</v>
      </c>
      <c r="I6" s="61">
        <f>'Exposure Inputs'!$E$64/$H6</f>
        <v>2525.6226053639843</v>
      </c>
    </row>
    <row r="7" spans="1:11" s="39" customFormat="1" ht="38.25" x14ac:dyDescent="0.25">
      <c r="A7" s="48" t="s">
        <v>254</v>
      </c>
      <c r="B7" s="55">
        <v>217</v>
      </c>
      <c r="C7" s="55">
        <v>129</v>
      </c>
      <c r="D7" s="41">
        <f>($B7*'Exposure Inputs'!$C$41*'Exposure Inputs'!$C$45/'Exposure Inputs'!$C$39)</f>
        <v>7.4865000000000001E-4</v>
      </c>
      <c r="E7" s="41">
        <f>'Exposure Inputs'!$E$64/$D7</f>
        <v>26581.17945635477</v>
      </c>
      <c r="F7" s="41">
        <f>($B7*'Exposure Inputs'!$D$41*'Exposure Inputs'!$C$45/'Exposure Inputs'!$D$39)</f>
        <v>1.1614084507042253E-3</v>
      </c>
      <c r="G7" s="61">
        <f>'Exposure Inputs'!$E$64/$F7</f>
        <v>17134.368178510791</v>
      </c>
      <c r="H7" s="61">
        <f>($B7*'Exposure Inputs'!$E$41*'Exposure Inputs'!$C$45/'Exposure Inputs'!$E$39)</f>
        <v>6.5509433962264148E-4</v>
      </c>
      <c r="I7" s="61">
        <f>'Exposure Inputs'!$E$64/$H7</f>
        <v>30377.304147465438</v>
      </c>
    </row>
    <row r="8" spans="1:11" s="39" customFormat="1" ht="53.1" customHeight="1" x14ac:dyDescent="0.25">
      <c r="A8" s="48" t="s">
        <v>255</v>
      </c>
      <c r="B8" s="55">
        <v>1390</v>
      </c>
      <c r="C8" s="55">
        <v>527</v>
      </c>
      <c r="D8" s="41">
        <f>($B8*'Exposure Inputs'!$C$41*'Exposure Inputs'!$C$45/'Exposure Inputs'!$C$39)</f>
        <v>4.7955000000000003E-3</v>
      </c>
      <c r="E8" s="41">
        <f>'Exposure Inputs'!$E$64/$D8</f>
        <v>4149.7236993014276</v>
      </c>
      <c r="F8" s="41">
        <f>($B8*'Exposure Inputs'!$D$41*'Exposure Inputs'!$C$45/'Exposure Inputs'!$D$39)</f>
        <v>7.4394366197183103E-3</v>
      </c>
      <c r="G8" s="61">
        <f>'Exposure Inputs'!$E$64/$F8</f>
        <v>2674.9337372207492</v>
      </c>
      <c r="H8" s="61">
        <f>($B8*'Exposure Inputs'!$E$41*'Exposure Inputs'!$C$45/'Exposure Inputs'!$E$39)</f>
        <v>4.1962264150943399E-3</v>
      </c>
      <c r="I8" s="61">
        <f>'Exposure Inputs'!$E$64/$H8</f>
        <v>4742.356115107913</v>
      </c>
    </row>
    <row r="9" spans="1:11" s="39" customFormat="1" ht="38.25" x14ac:dyDescent="0.25">
      <c r="A9" s="48" t="s">
        <v>256</v>
      </c>
      <c r="B9" s="55">
        <v>12.2</v>
      </c>
      <c r="C9" s="55">
        <v>12.1</v>
      </c>
      <c r="D9" s="41">
        <f>($B9*'Exposure Inputs'!$C$41*'Exposure Inputs'!$C$45/'Exposure Inputs'!$C$39)</f>
        <v>4.2089999999999999E-5</v>
      </c>
      <c r="E9" s="41">
        <f>'Exposure Inputs'!$E$64/$D9</f>
        <v>472796.38869090041</v>
      </c>
      <c r="F9" s="41">
        <f>($B9*'Exposure Inputs'!$D$41*'Exposure Inputs'!$C$45/'Exposure Inputs'!$D$39)</f>
        <v>6.5295774647887331E-5</v>
      </c>
      <c r="G9" s="61">
        <f>'Exposure Inputs'!$E$64/$F9</f>
        <v>304767.04055220011</v>
      </c>
      <c r="H9" s="61">
        <f>($B9*'Exposure Inputs'!$E$41*'Exposure Inputs'!$C$45/'Exposure Inputs'!$E$39)</f>
        <v>3.6830188679245287E-5</v>
      </c>
      <c r="I9" s="61">
        <f>'Exposure Inputs'!$E$64/$H9</f>
        <v>540317.62295081955</v>
      </c>
    </row>
    <row r="10" spans="1:11" s="39" customFormat="1" ht="25.5" x14ac:dyDescent="0.25">
      <c r="A10" s="48" t="s">
        <v>249</v>
      </c>
      <c r="B10" s="55">
        <v>2.9</v>
      </c>
      <c r="C10" s="55">
        <v>2.9</v>
      </c>
      <c r="D10" s="41">
        <f>($B10*'Exposure Inputs'!$C$41*'Exposure Inputs'!$C$45/'Exposure Inputs'!$C$39)</f>
        <v>1.0005E-5</v>
      </c>
      <c r="E10" s="41">
        <f>'Exposure Inputs'!$E$64/$D10</f>
        <v>1989005.4972513742</v>
      </c>
      <c r="F10" s="41">
        <f>($B10*'Exposure Inputs'!$D$41*'Exposure Inputs'!$C$45/'Exposure Inputs'!$D$39)</f>
        <v>1.5521126760563379E-5</v>
      </c>
      <c r="G10" s="41">
        <f>'Exposure Inputs'!$E$64/$F10</f>
        <v>1282123.4119782215</v>
      </c>
      <c r="H10" s="41">
        <f>($B10*'Exposure Inputs'!$E$41*'Exposure Inputs'!$C$45/'Exposure Inputs'!$E$39)</f>
        <v>8.7547169811320743E-6</v>
      </c>
      <c r="I10" s="41">
        <f>'Exposure Inputs'!$E$64/$H10</f>
        <v>2273060.3448275863</v>
      </c>
    </row>
  </sheetData>
  <sheetProtection sheet="1" objects="1" scenarios="1" formatCells="0" formatColumns="0" formatRows="0"/>
  <autoFilter ref="A4:I10" xr:uid="{20952F15-333B-459B-B25A-1639B9833C28}"/>
  <mergeCells count="4">
    <mergeCell ref="B2:C3"/>
    <mergeCell ref="H2:I2"/>
    <mergeCell ref="D2:E2"/>
    <mergeCell ref="F2:G2"/>
  </mergeCells>
  <conditionalFormatting sqref="D5:E9 G5:I9 D10:I10">
    <cfRule type="cellIs" dxfId="8" priority="37" operator="between">
      <formula>10</formula>
      <formula>9999.999</formula>
    </cfRule>
    <cfRule type="cellIs" dxfId="7" priority="38" operator="greaterThanOrEqual">
      <formula>10000</formula>
    </cfRule>
    <cfRule type="cellIs" dxfId="6" priority="39" operator="lessThan">
      <formula>0.1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35A7C535-E414-4276-9776-E5A399A65A67}">
            <xm:f>'Exposure Inputs'!$F$64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m:sqref>E5:E10 G5:G10 I5:I10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F4D0-2121-4DBD-8B3F-CA04C3C4B3FA}">
  <dimension ref="A1:J1099"/>
  <sheetViews>
    <sheetView zoomScaleNormal="100" workbookViewId="0">
      <selection activeCell="B1" sqref="B1"/>
    </sheetView>
  </sheetViews>
  <sheetFormatPr defaultColWidth="8.42578125" defaultRowHeight="15" x14ac:dyDescent="0.25"/>
  <cols>
    <col min="1" max="1" width="17" bestFit="1" customWidth="1"/>
    <col min="2" max="2" width="13.42578125" customWidth="1"/>
    <col min="3" max="3" width="15" customWidth="1"/>
    <col min="4" max="4" width="15.85546875" customWidth="1"/>
    <col min="5" max="5" width="16.7109375" customWidth="1"/>
    <col min="6" max="6" width="11.42578125" customWidth="1"/>
    <col min="7" max="7" width="16.140625" customWidth="1"/>
    <col min="8" max="8" width="11.42578125" customWidth="1"/>
    <col min="9" max="9" width="17.85546875" customWidth="1"/>
  </cols>
  <sheetData>
    <row r="1" spans="1:10" ht="26.25" customHeight="1" x14ac:dyDescent="0.25">
      <c r="B1" s="43" t="s">
        <v>669</v>
      </c>
    </row>
    <row r="2" spans="1:10" s="39" customFormat="1" ht="20.25" customHeight="1" x14ac:dyDescent="0.25">
      <c r="B2" s="103" t="s">
        <v>223</v>
      </c>
      <c r="C2" s="103"/>
      <c r="D2" s="104" t="s">
        <v>224</v>
      </c>
      <c r="E2" s="104"/>
      <c r="F2" s="101" t="s">
        <v>227</v>
      </c>
      <c r="G2" s="101"/>
      <c r="H2" s="101" t="s">
        <v>228</v>
      </c>
      <c r="I2" s="101"/>
    </row>
    <row r="3" spans="1:10" s="39" customFormat="1" ht="24.75" customHeight="1" x14ac:dyDescent="0.25">
      <c r="B3" s="103"/>
      <c r="C3" s="103"/>
      <c r="D3" s="83" t="s">
        <v>230</v>
      </c>
      <c r="E3" s="83" t="s">
        <v>231</v>
      </c>
      <c r="F3" s="82" t="s">
        <v>230</v>
      </c>
      <c r="G3" s="82" t="s">
        <v>231</v>
      </c>
      <c r="H3" s="82" t="s">
        <v>230</v>
      </c>
      <c r="I3" s="82" t="s">
        <v>231</v>
      </c>
    </row>
    <row r="4" spans="1:10" s="39" customFormat="1" ht="48" customHeight="1" x14ac:dyDescent="0.25">
      <c r="A4" s="40" t="s">
        <v>232</v>
      </c>
      <c r="B4" s="40" t="s">
        <v>238</v>
      </c>
      <c r="C4" s="40" t="s">
        <v>237</v>
      </c>
      <c r="D4" s="38" t="s">
        <v>239</v>
      </c>
      <c r="E4" s="38" t="s">
        <v>243</v>
      </c>
      <c r="F4" s="40" t="s">
        <v>239</v>
      </c>
      <c r="G4" s="40" t="s">
        <v>243</v>
      </c>
      <c r="H4" s="40" t="s">
        <v>239</v>
      </c>
      <c r="I4" s="40" t="s">
        <v>243</v>
      </c>
    </row>
    <row r="5" spans="1:10" s="39" customFormat="1" ht="25.5" x14ac:dyDescent="0.25">
      <c r="A5" s="48" t="s">
        <v>253</v>
      </c>
      <c r="B5" s="55">
        <v>1940</v>
      </c>
      <c r="C5" s="55">
        <v>1110</v>
      </c>
      <c r="D5" s="41">
        <f>($B5*'Exposure Inputs'!$C$57*'Exposure Inputs'!$C$51*'Exposure Inputs'!$C$54*'Exposure Inputs'!$C$58*'Exposure Inputs'!$C$59)/'Exposure Inputs'!$C$50</f>
        <v>1.5463012500000002E-3</v>
      </c>
      <c r="E5" s="41">
        <f>'Exposure Inputs'!$E$67/$D5</f>
        <v>12869.419849463353</v>
      </c>
      <c r="F5" s="41">
        <f>($B5*'Exposure Inputs'!$C$57*'Exposure Inputs'!$D$51*'Exposure Inputs'!$D$54*'Exposure Inputs'!$C$58*'Exposure Inputs'!$C$59)/'Exposure Inputs'!$D$50</f>
        <v>1.1838781690140848E-3</v>
      </c>
      <c r="G5" s="41">
        <f>'Exposure Inputs'!$E$67/$F5</f>
        <v>16809.162058096237</v>
      </c>
      <c r="H5" s="41">
        <f>($B5*'Exposure Inputs'!$C$57*'Exposure Inputs'!$E$51*'Exposure Inputs'!$E$54*'Exposure Inputs'!$C$58*'Exposure Inputs'!$C$59)/'Exposure Inputs'!$E$50</f>
        <v>7.1816603773584928E-4</v>
      </c>
      <c r="I5" s="41">
        <f>'Exposure Inputs'!$E$67/$H5</f>
        <v>27709.469613375779</v>
      </c>
    </row>
    <row r="6" spans="1:10" s="39" customFormat="1" ht="38.25" x14ac:dyDescent="0.25">
      <c r="A6" s="48" t="s">
        <v>668</v>
      </c>
      <c r="B6" s="55">
        <v>2610</v>
      </c>
      <c r="C6" s="55">
        <v>1380</v>
      </c>
      <c r="D6" s="41">
        <f>($B6*'Exposure Inputs'!$C$57*'Exposure Inputs'!$C$51*'Exposure Inputs'!$C$54*'Exposure Inputs'!$C$58*'Exposure Inputs'!$C$59)/'Exposure Inputs'!$C$50</f>
        <v>2.0803331250000005E-3</v>
      </c>
      <c r="E6" s="41">
        <f>'Exposure Inputs'!$E$67/$D6</f>
        <v>9565.7756735474723</v>
      </c>
      <c r="F6" s="41">
        <f>($B6*'Exposure Inputs'!$C$57*'Exposure Inputs'!$D$51*'Exposure Inputs'!$D$54*'Exposure Inputs'!$C$58*'Exposure Inputs'!$C$59)/'Exposure Inputs'!$D$50</f>
        <v>1.5927433098591548E-3</v>
      </c>
      <c r="G6" s="41">
        <f>'Exposure Inputs'!$E$67/$F6</f>
        <v>12494.166433987246</v>
      </c>
      <c r="H6" s="41">
        <f>($B6*'Exposure Inputs'!$C$57*'Exposure Inputs'!$E$51*'Exposure Inputs'!$E$54*'Exposure Inputs'!$C$58*'Exposure Inputs'!$C$59)/'Exposure Inputs'!$E$50</f>
        <v>9.6619245283018865E-4</v>
      </c>
      <c r="I6" s="41">
        <f>'Exposure Inputs'!$E$67/$H6</f>
        <v>20596.310747106909</v>
      </c>
      <c r="J6" s="41"/>
    </row>
    <row r="7" spans="1:10" s="39" customFormat="1" ht="51" x14ac:dyDescent="0.25">
      <c r="A7" s="48" t="s">
        <v>254</v>
      </c>
      <c r="B7" s="55">
        <v>217</v>
      </c>
      <c r="C7" s="55">
        <v>129</v>
      </c>
      <c r="D7" s="41">
        <f>($B7*'Exposure Inputs'!$C$57*'Exposure Inputs'!$C$51*'Exposure Inputs'!$C$54*'Exposure Inputs'!$C$58*'Exposure Inputs'!$C$59)/'Exposure Inputs'!$C$50</f>
        <v>1.729625625E-4</v>
      </c>
      <c r="E7" s="41">
        <f>'Exposure Inputs'!$E$67/$D7</f>
        <v>115053.79957584752</v>
      </c>
      <c r="F7" s="41">
        <f>($B7*'Exposure Inputs'!$C$57*'Exposure Inputs'!$D$51*'Exposure Inputs'!$D$54*'Exposure Inputs'!$C$58*'Exposure Inputs'!$C$59)/'Exposure Inputs'!$D$50</f>
        <v>1.3242348591549299E-4</v>
      </c>
      <c r="G7" s="41">
        <f>'Exposure Inputs'!$E$67/$F7</f>
        <v>150275.45803090645</v>
      </c>
      <c r="H7" s="41">
        <f>($B7*'Exposure Inputs'!$C$57*'Exposure Inputs'!$E$51*'Exposure Inputs'!$E$54*'Exposure Inputs'!$C$58*'Exposure Inputs'!$C$59)/'Exposure Inputs'!$E$50</f>
        <v>8.0330943396226425E-5</v>
      </c>
      <c r="I7" s="41">
        <f>'Exposure Inputs'!$E$67/$H7</f>
        <v>247725.21221174664</v>
      </c>
    </row>
    <row r="8" spans="1:10" s="39" customFormat="1" ht="51" x14ac:dyDescent="0.25">
      <c r="A8" s="48" t="s">
        <v>255</v>
      </c>
      <c r="B8" s="55">
        <v>1390</v>
      </c>
      <c r="C8" s="55">
        <v>527</v>
      </c>
      <c r="D8" s="41">
        <f>($B8*'Exposure Inputs'!$C$57*'Exposure Inputs'!$C$51*'Exposure Inputs'!$C$54*'Exposure Inputs'!$C$58*'Exposure Inputs'!$C$59)/'Exposure Inputs'!$C$50</f>
        <v>1.1079168750000002E-3</v>
      </c>
      <c r="E8" s="41">
        <f>'Exposure Inputs'!$E$67/$D8</f>
        <v>17961.636336661082</v>
      </c>
      <c r="F8" s="41">
        <f>($B8*'Exposure Inputs'!$C$57*'Exposure Inputs'!$D$51*'Exposure Inputs'!$D$54*'Exposure Inputs'!$C$58*'Exposure Inputs'!$C$59)/'Exposure Inputs'!$D$50</f>
        <v>8.482426056338029E-4</v>
      </c>
      <c r="G8" s="41">
        <f>'Exposure Inputs'!$E$67/$F8</f>
        <v>23460.269347271013</v>
      </c>
      <c r="H8" s="41">
        <f>($B8*'Exposure Inputs'!$C$57*'Exposure Inputs'!$E$51*'Exposure Inputs'!$E$54*'Exposure Inputs'!$C$58*'Exposure Inputs'!$C$59)/'Exposure Inputs'!$E$50</f>
        <v>5.1456226415094351E-4</v>
      </c>
      <c r="I8" s="41">
        <f>'Exposure Inputs'!$E$67/$H8</f>
        <v>38673.648237373396</v>
      </c>
    </row>
    <row r="9" spans="1:10" s="39" customFormat="1" ht="51" x14ac:dyDescent="0.25">
      <c r="A9" s="48" t="s">
        <v>256</v>
      </c>
      <c r="B9" s="55">
        <v>12.2</v>
      </c>
      <c r="C9" s="55">
        <v>12.1</v>
      </c>
      <c r="D9" s="41">
        <f>($B9*'Exposure Inputs'!$C$57*'Exposure Inputs'!$C$51*'Exposure Inputs'!$C$54*'Exposure Inputs'!$C$58*'Exposure Inputs'!$C$59)/'Exposure Inputs'!$C$50</f>
        <v>9.7241624999999999E-6</v>
      </c>
      <c r="E9" s="41">
        <f>'Exposure Inputs'!$E$67/$D9</f>
        <v>2046448.7301605665</v>
      </c>
      <c r="F9" s="41">
        <f>($B9*'Exposure Inputs'!$C$57*'Exposure Inputs'!$D$51*'Exposure Inputs'!$D$54*'Exposure Inputs'!$C$58*'Exposure Inputs'!$C$59)/'Exposure Inputs'!$D$50</f>
        <v>7.4450070422535218E-6</v>
      </c>
      <c r="G9" s="41">
        <f>'Exposure Inputs'!$E$67/$F9</f>
        <v>2672932.3272710415</v>
      </c>
      <c r="H9" s="41">
        <f>($B9*'Exposure Inputs'!$C$57*'Exposure Inputs'!$E$51*'Exposure Inputs'!$E$54*'Exposure Inputs'!$C$58*'Exposure Inputs'!$C$59)/'Exposure Inputs'!$E$50</f>
        <v>4.5163018867924524E-6</v>
      </c>
      <c r="I9" s="41">
        <f>'Exposure Inputs'!$E$67/$H9</f>
        <v>4406259.9221269703</v>
      </c>
    </row>
    <row r="10" spans="1:10" s="39" customFormat="1" ht="38.25" x14ac:dyDescent="0.25">
      <c r="A10" s="48" t="s">
        <v>249</v>
      </c>
      <c r="B10" s="55">
        <v>2.9</v>
      </c>
      <c r="C10" s="55">
        <v>2.9</v>
      </c>
      <c r="D10" s="41">
        <f>($B10*'Exposure Inputs'!$C$57*'Exposure Inputs'!$C$51*'Exposure Inputs'!$C$54*'Exposure Inputs'!$C$58*'Exposure Inputs'!$C$59)/'Exposure Inputs'!$C$50</f>
        <v>2.3114812500000002E-6</v>
      </c>
      <c r="E10" s="41">
        <f>'Exposure Inputs'!$E$67/$D10</f>
        <v>8609198.1061927266</v>
      </c>
      <c r="F10" s="41">
        <f>($B10*'Exposure Inputs'!$C$57*'Exposure Inputs'!$D$51*'Exposure Inputs'!$D$54*'Exposure Inputs'!$C$58*'Exposure Inputs'!$C$59)/'Exposure Inputs'!$D$50</f>
        <v>1.7697147887323945E-6</v>
      </c>
      <c r="G10" s="41">
        <f>'Exposure Inputs'!$E$67/$F10</f>
        <v>11244749.790588519</v>
      </c>
      <c r="H10" s="41">
        <f>($B10*'Exposure Inputs'!$C$57*'Exposure Inputs'!$E$51*'Exposure Inputs'!$E$54*'Exposure Inputs'!$C$58*'Exposure Inputs'!$C$59)/'Exposure Inputs'!$E$50</f>
        <v>1.0735471698113208E-6</v>
      </c>
      <c r="I10" s="41">
        <f>'Exposure Inputs'!$E$67/$H10</f>
        <v>18536679.672396217</v>
      </c>
    </row>
    <row r="11" spans="1:10" s="39" customFormat="1" ht="12.75" x14ac:dyDescent="0.25"/>
    <row r="12" spans="1:10" s="39" customFormat="1" ht="12.75" x14ac:dyDescent="0.25"/>
    <row r="13" spans="1:10" s="39" customFormat="1" ht="12.75" x14ac:dyDescent="0.25"/>
    <row r="14" spans="1:10" s="39" customFormat="1" ht="12.75" x14ac:dyDescent="0.25"/>
    <row r="15" spans="1:10" s="39" customFormat="1" ht="12.75" x14ac:dyDescent="0.25"/>
    <row r="16" spans="1:10" s="39" customFormat="1" ht="12.75" x14ac:dyDescent="0.25"/>
    <row r="17" s="39" customFormat="1" ht="12.75" x14ac:dyDescent="0.25"/>
    <row r="18" s="39" customFormat="1" ht="12.75" x14ac:dyDescent="0.25"/>
    <row r="19" s="39" customFormat="1" ht="12.75" x14ac:dyDescent="0.25"/>
    <row r="20" s="39" customFormat="1" ht="12.75" x14ac:dyDescent="0.25"/>
    <row r="21" s="39" customFormat="1" ht="12.75" x14ac:dyDescent="0.25"/>
    <row r="22" s="39" customFormat="1" ht="12.75" x14ac:dyDescent="0.25"/>
    <row r="23" s="39" customFormat="1" ht="12.75" x14ac:dyDescent="0.25"/>
    <row r="24" s="39" customFormat="1" ht="12.75" x14ac:dyDescent="0.25"/>
    <row r="25" s="39" customFormat="1" ht="12.75" x14ac:dyDescent="0.25"/>
    <row r="26" s="39" customFormat="1" ht="12.75" x14ac:dyDescent="0.25"/>
    <row r="27" s="39" customFormat="1" ht="12.75" x14ac:dyDescent="0.25"/>
    <row r="28" s="39" customFormat="1" ht="12.75" x14ac:dyDescent="0.25"/>
    <row r="29" s="39" customFormat="1" ht="12.75" x14ac:dyDescent="0.25"/>
    <row r="30" s="39" customFormat="1" ht="12.75" x14ac:dyDescent="0.25"/>
    <row r="31" s="39" customFormat="1" ht="12.75" x14ac:dyDescent="0.25"/>
    <row r="32" s="39" customFormat="1" ht="12.75" x14ac:dyDescent="0.25"/>
    <row r="33" s="39" customFormat="1" ht="12.75" x14ac:dyDescent="0.25"/>
    <row r="34" s="39" customFormat="1" ht="12.75" x14ac:dyDescent="0.25"/>
    <row r="35" s="39" customFormat="1" ht="12.75" x14ac:dyDescent="0.25"/>
    <row r="36" s="39" customFormat="1" ht="12.75" x14ac:dyDescent="0.25"/>
    <row r="37" s="39" customFormat="1" ht="12.75" x14ac:dyDescent="0.25"/>
    <row r="38" s="39" customFormat="1" ht="12.75" x14ac:dyDescent="0.25"/>
    <row r="39" s="39" customFormat="1" ht="12.75" x14ac:dyDescent="0.25"/>
    <row r="40" s="39" customFormat="1" ht="12.75" x14ac:dyDescent="0.25"/>
    <row r="41" s="39" customFormat="1" ht="12.75" x14ac:dyDescent="0.25"/>
    <row r="42" s="39" customFormat="1" ht="12.75" x14ac:dyDescent="0.25"/>
    <row r="43" s="39" customFormat="1" ht="12.75" x14ac:dyDescent="0.25"/>
    <row r="44" s="39" customFormat="1" ht="12.75" x14ac:dyDescent="0.25"/>
    <row r="45" s="39" customFormat="1" ht="12.75" x14ac:dyDescent="0.25"/>
    <row r="46" s="39" customFormat="1" ht="12.75" x14ac:dyDescent="0.25"/>
    <row r="47" s="39" customFormat="1" ht="12.75" x14ac:dyDescent="0.25"/>
    <row r="48" s="39" customFormat="1" ht="12.75" x14ac:dyDescent="0.25"/>
    <row r="49" s="39" customFormat="1" ht="12.75" x14ac:dyDescent="0.25"/>
    <row r="50" s="39" customFormat="1" ht="12.75" x14ac:dyDescent="0.25"/>
    <row r="51" s="39" customFormat="1" ht="12.75" x14ac:dyDescent="0.25"/>
    <row r="52" s="39" customFormat="1" ht="12.75" x14ac:dyDescent="0.25"/>
    <row r="53" s="39" customFormat="1" ht="12.75" x14ac:dyDescent="0.25"/>
    <row r="54" s="39" customFormat="1" ht="12.75" x14ac:dyDescent="0.25"/>
    <row r="55" s="39" customFormat="1" ht="12.75" x14ac:dyDescent="0.25"/>
    <row r="56" s="39" customFormat="1" ht="12.75" x14ac:dyDescent="0.25"/>
    <row r="57" s="39" customFormat="1" ht="12.75" x14ac:dyDescent="0.25"/>
    <row r="58" s="39" customFormat="1" ht="12.75" x14ac:dyDescent="0.25"/>
    <row r="59" s="39" customFormat="1" ht="12.75" x14ac:dyDescent="0.25"/>
    <row r="60" s="39" customFormat="1" ht="12.75" x14ac:dyDescent="0.25"/>
    <row r="61" s="39" customFormat="1" ht="12.75" x14ac:dyDescent="0.25"/>
    <row r="62" s="39" customFormat="1" ht="12.75" x14ac:dyDescent="0.25"/>
    <row r="63" s="39" customFormat="1" ht="12.75" x14ac:dyDescent="0.25"/>
    <row r="64" s="39" customFormat="1" ht="12.75" x14ac:dyDescent="0.25"/>
    <row r="65" s="39" customFormat="1" ht="12.75" x14ac:dyDescent="0.25"/>
    <row r="66" s="39" customFormat="1" ht="12.75" x14ac:dyDescent="0.25"/>
    <row r="67" s="39" customFormat="1" ht="12.75" x14ac:dyDescent="0.25"/>
    <row r="68" s="39" customFormat="1" ht="12.75" x14ac:dyDescent="0.25"/>
    <row r="69" s="39" customFormat="1" ht="12.75" x14ac:dyDescent="0.25"/>
    <row r="70" s="39" customFormat="1" ht="12.75" x14ac:dyDescent="0.25"/>
    <row r="71" s="39" customFormat="1" ht="12.75" x14ac:dyDescent="0.25"/>
    <row r="72" s="39" customFormat="1" ht="12.75" x14ac:dyDescent="0.25"/>
    <row r="73" s="39" customFormat="1" ht="12.75" x14ac:dyDescent="0.25"/>
    <row r="74" s="39" customFormat="1" ht="12.75" x14ac:dyDescent="0.25"/>
    <row r="75" s="39" customFormat="1" ht="12.75" x14ac:dyDescent="0.25"/>
    <row r="76" s="39" customFormat="1" ht="12.75" x14ac:dyDescent="0.25"/>
    <row r="77" s="39" customFormat="1" ht="12.75" x14ac:dyDescent="0.25"/>
    <row r="78" s="39" customFormat="1" ht="12.75" x14ac:dyDescent="0.25"/>
    <row r="79" s="39" customFormat="1" ht="12.75" x14ac:dyDescent="0.25"/>
    <row r="80" s="39" customFormat="1" ht="12.75" x14ac:dyDescent="0.25"/>
    <row r="81" s="39" customFormat="1" ht="12.75" x14ac:dyDescent="0.25"/>
    <row r="82" s="39" customFormat="1" ht="12.75" x14ac:dyDescent="0.25"/>
    <row r="83" s="39" customFormat="1" ht="12.75" x14ac:dyDescent="0.25"/>
    <row r="84" s="39" customFormat="1" ht="12.75" x14ac:dyDescent="0.25"/>
    <row r="85" s="39" customFormat="1" ht="12.75" x14ac:dyDescent="0.25"/>
    <row r="86" s="39" customFormat="1" ht="12.75" x14ac:dyDescent="0.25"/>
    <row r="87" s="39" customFormat="1" ht="12.75" x14ac:dyDescent="0.25"/>
    <row r="88" s="39" customFormat="1" ht="12.75" x14ac:dyDescent="0.25"/>
    <row r="89" s="39" customFormat="1" ht="12.75" x14ac:dyDescent="0.25"/>
    <row r="90" s="39" customFormat="1" ht="12.75" x14ac:dyDescent="0.25"/>
    <row r="91" s="39" customFormat="1" ht="12.75" x14ac:dyDescent="0.25"/>
    <row r="92" s="39" customFormat="1" ht="12.75" x14ac:dyDescent="0.25"/>
    <row r="93" s="39" customFormat="1" ht="12.75" x14ac:dyDescent="0.25"/>
    <row r="94" s="39" customFormat="1" ht="12.75" x14ac:dyDescent="0.25"/>
    <row r="95" s="39" customFormat="1" ht="12.75" x14ac:dyDescent="0.25"/>
    <row r="96" s="39" customFormat="1" ht="12.75" x14ac:dyDescent="0.25"/>
    <row r="97" s="39" customFormat="1" ht="12.75" x14ac:dyDescent="0.25"/>
    <row r="98" s="39" customFormat="1" ht="12.75" x14ac:dyDescent="0.25"/>
    <row r="99" s="39" customFormat="1" ht="12.75" x14ac:dyDescent="0.25"/>
    <row r="100" s="39" customFormat="1" ht="12.75" x14ac:dyDescent="0.25"/>
    <row r="101" s="39" customFormat="1" ht="12.75" x14ac:dyDescent="0.25"/>
    <row r="102" s="39" customFormat="1" ht="12.75" x14ac:dyDescent="0.25"/>
    <row r="103" s="39" customFormat="1" ht="12.75" x14ac:dyDescent="0.25"/>
    <row r="104" s="39" customFormat="1" ht="12.75" x14ac:dyDescent="0.25"/>
    <row r="105" s="39" customFormat="1" ht="12.75" x14ac:dyDescent="0.25"/>
    <row r="106" s="39" customFormat="1" ht="12.75" x14ac:dyDescent="0.25"/>
    <row r="107" s="39" customFormat="1" ht="12.75" x14ac:dyDescent="0.25"/>
    <row r="108" s="39" customFormat="1" ht="12.75" x14ac:dyDescent="0.25"/>
    <row r="109" s="39" customFormat="1" ht="12.75" x14ac:dyDescent="0.25"/>
    <row r="110" s="39" customFormat="1" ht="12.75" x14ac:dyDescent="0.25"/>
    <row r="111" s="39" customFormat="1" ht="12.75" x14ac:dyDescent="0.25"/>
    <row r="112" s="39" customFormat="1" ht="12.75" x14ac:dyDescent="0.25"/>
    <row r="113" s="39" customFormat="1" ht="12.75" x14ac:dyDescent="0.25"/>
    <row r="114" s="39" customFormat="1" ht="12.75" x14ac:dyDescent="0.25"/>
    <row r="115" s="39" customFormat="1" ht="12.75" x14ac:dyDescent="0.25"/>
    <row r="116" s="39" customFormat="1" ht="12.75" x14ac:dyDescent="0.25"/>
    <row r="117" s="39" customFormat="1" ht="12.75" x14ac:dyDescent="0.25"/>
    <row r="118" s="39" customFormat="1" ht="12.75" x14ac:dyDescent="0.25"/>
    <row r="119" s="39" customFormat="1" ht="12.75" x14ac:dyDescent="0.25"/>
    <row r="120" s="39" customFormat="1" ht="12.75" x14ac:dyDescent="0.25"/>
    <row r="121" s="39" customFormat="1" ht="12.75" x14ac:dyDescent="0.25"/>
    <row r="122" s="39" customFormat="1" ht="12.75" x14ac:dyDescent="0.25"/>
    <row r="123" s="39" customFormat="1" ht="12.75" x14ac:dyDescent="0.25"/>
    <row r="124" s="39" customFormat="1" ht="12.75" x14ac:dyDescent="0.25"/>
    <row r="125" s="39" customFormat="1" ht="12.75" x14ac:dyDescent="0.25"/>
    <row r="126" s="39" customFormat="1" ht="12.75" x14ac:dyDescent="0.25"/>
    <row r="127" s="39" customFormat="1" ht="12.75" x14ac:dyDescent="0.25"/>
    <row r="128" s="39" customFormat="1" ht="12.75" x14ac:dyDescent="0.25"/>
    <row r="129" s="39" customFormat="1" ht="12.75" x14ac:dyDescent="0.25"/>
    <row r="130" s="39" customFormat="1" ht="12.75" x14ac:dyDescent="0.25"/>
    <row r="131" s="39" customFormat="1" ht="12.75" x14ac:dyDescent="0.25"/>
    <row r="132" s="39" customFormat="1" ht="12.75" x14ac:dyDescent="0.25"/>
    <row r="133" s="39" customFormat="1" ht="12.75" x14ac:dyDescent="0.25"/>
    <row r="134" s="39" customFormat="1" ht="12.75" x14ac:dyDescent="0.25"/>
    <row r="135" s="39" customFormat="1" ht="12.75" x14ac:dyDescent="0.25"/>
    <row r="136" s="39" customFormat="1" ht="12.75" x14ac:dyDescent="0.25"/>
    <row r="137" s="39" customFormat="1" ht="12.75" x14ac:dyDescent="0.25"/>
    <row r="138" s="39" customFormat="1" ht="12.75" x14ac:dyDescent="0.25"/>
    <row r="139" s="39" customFormat="1" ht="12.75" x14ac:dyDescent="0.25"/>
    <row r="140" s="39" customFormat="1" ht="12.75" x14ac:dyDescent="0.25"/>
    <row r="141" s="39" customFormat="1" ht="12.75" x14ac:dyDescent="0.25"/>
    <row r="142" s="39" customFormat="1" ht="12.75" x14ac:dyDescent="0.25"/>
    <row r="143" s="39" customFormat="1" ht="12.75" x14ac:dyDescent="0.25"/>
    <row r="144" s="39" customFormat="1" ht="12.75" x14ac:dyDescent="0.25"/>
    <row r="145" s="39" customFormat="1" ht="12.75" x14ac:dyDescent="0.25"/>
    <row r="146" s="39" customFormat="1" ht="12.75" x14ac:dyDescent="0.25"/>
    <row r="147" s="39" customFormat="1" ht="12.75" x14ac:dyDescent="0.25"/>
    <row r="148" s="39" customFormat="1" ht="12.75" x14ac:dyDescent="0.25"/>
    <row r="149" s="39" customFormat="1" ht="12.75" x14ac:dyDescent="0.25"/>
    <row r="150" s="39" customFormat="1" ht="12.75" x14ac:dyDescent="0.25"/>
    <row r="151" s="39" customFormat="1" ht="12.75" x14ac:dyDescent="0.25"/>
    <row r="152" s="39" customFormat="1" ht="12.75" x14ac:dyDescent="0.25"/>
    <row r="153" s="39" customFormat="1" ht="12.75" x14ac:dyDescent="0.25"/>
    <row r="154" s="39" customFormat="1" ht="12.75" x14ac:dyDescent="0.25"/>
    <row r="155" s="39" customFormat="1" ht="12.75" x14ac:dyDescent="0.25"/>
    <row r="156" s="39" customFormat="1" ht="12.75" x14ac:dyDescent="0.25"/>
    <row r="157" s="39" customFormat="1" ht="12.75" x14ac:dyDescent="0.25"/>
    <row r="158" s="39" customFormat="1" ht="12.75" x14ac:dyDescent="0.25"/>
    <row r="159" s="39" customFormat="1" ht="12.75" x14ac:dyDescent="0.25"/>
    <row r="160" s="39" customFormat="1" ht="12.75" x14ac:dyDescent="0.25"/>
    <row r="161" s="39" customFormat="1" ht="12.75" x14ac:dyDescent="0.25"/>
    <row r="162" s="39" customFormat="1" ht="12.75" x14ac:dyDescent="0.25"/>
    <row r="163" s="39" customFormat="1" ht="12.75" x14ac:dyDescent="0.25"/>
    <row r="164" s="39" customFormat="1" ht="12.75" x14ac:dyDescent="0.25"/>
    <row r="165" s="39" customFormat="1" ht="12.75" x14ac:dyDescent="0.25"/>
    <row r="166" s="39" customFormat="1" ht="12.75" x14ac:dyDescent="0.25"/>
    <row r="167" s="39" customFormat="1" ht="12.75" x14ac:dyDescent="0.25"/>
    <row r="168" s="39" customFormat="1" ht="12.75" x14ac:dyDescent="0.25"/>
    <row r="169" s="39" customFormat="1" ht="12.75" x14ac:dyDescent="0.25"/>
    <row r="170" s="39" customFormat="1" ht="12.75" x14ac:dyDescent="0.25"/>
    <row r="171" s="39" customFormat="1" ht="12.75" x14ac:dyDescent="0.25"/>
    <row r="172" s="39" customFormat="1" ht="12.75" x14ac:dyDescent="0.25"/>
    <row r="173" s="39" customFormat="1" ht="12.75" x14ac:dyDescent="0.25"/>
    <row r="174" s="39" customFormat="1" ht="12.75" x14ac:dyDescent="0.25"/>
    <row r="175" s="39" customFormat="1" ht="12.75" x14ac:dyDescent="0.25"/>
    <row r="176" s="39" customFormat="1" ht="12.75" x14ac:dyDescent="0.25"/>
    <row r="177" s="39" customFormat="1" ht="12.75" x14ac:dyDescent="0.25"/>
    <row r="178" s="39" customFormat="1" ht="12.75" x14ac:dyDescent="0.25"/>
    <row r="179" s="39" customFormat="1" ht="12.75" x14ac:dyDescent="0.25"/>
    <row r="180" s="39" customFormat="1" ht="12.75" x14ac:dyDescent="0.25"/>
    <row r="181" s="39" customFormat="1" ht="12.75" x14ac:dyDescent="0.25"/>
    <row r="182" s="39" customFormat="1" ht="12.75" x14ac:dyDescent="0.25"/>
    <row r="183" s="39" customFormat="1" ht="12.75" x14ac:dyDescent="0.25"/>
    <row r="184" s="39" customFormat="1" ht="12.75" x14ac:dyDescent="0.25"/>
    <row r="185" s="39" customFormat="1" ht="12.75" x14ac:dyDescent="0.25"/>
    <row r="186" s="39" customFormat="1" ht="12.75" x14ac:dyDescent="0.25"/>
    <row r="187" s="39" customFormat="1" ht="12.75" x14ac:dyDescent="0.25"/>
    <row r="188" s="39" customFormat="1" ht="12.75" x14ac:dyDescent="0.25"/>
    <row r="189" s="39" customFormat="1" ht="12.75" x14ac:dyDescent="0.25"/>
    <row r="190" s="39" customFormat="1" ht="12.75" x14ac:dyDescent="0.25"/>
    <row r="191" s="39" customFormat="1" ht="12.75" x14ac:dyDescent="0.25"/>
    <row r="192" s="39" customFormat="1" ht="12.75" x14ac:dyDescent="0.25"/>
    <row r="193" s="39" customFormat="1" ht="12.75" x14ac:dyDescent="0.25"/>
    <row r="194" s="39" customFormat="1" ht="12.75" x14ac:dyDescent="0.25"/>
    <row r="195" s="39" customFormat="1" ht="12.75" x14ac:dyDescent="0.25"/>
    <row r="196" s="39" customFormat="1" ht="12.75" x14ac:dyDescent="0.25"/>
    <row r="197" s="39" customFormat="1" ht="12.75" x14ac:dyDescent="0.25"/>
    <row r="198" s="39" customFormat="1" ht="12.75" x14ac:dyDescent="0.25"/>
    <row r="199" s="39" customFormat="1" ht="12.75" x14ac:dyDescent="0.25"/>
    <row r="200" s="39" customFormat="1" ht="12.75" x14ac:dyDescent="0.25"/>
    <row r="201" s="39" customFormat="1" ht="12.75" x14ac:dyDescent="0.25"/>
    <row r="202" s="39" customFormat="1" ht="12.75" x14ac:dyDescent="0.25"/>
    <row r="203" s="39" customFormat="1" ht="12.75" x14ac:dyDescent="0.25"/>
    <row r="204" s="39" customFormat="1" ht="12.75" x14ac:dyDescent="0.25"/>
    <row r="205" s="39" customFormat="1" ht="12.75" x14ac:dyDescent="0.25"/>
    <row r="206" s="39" customFormat="1" ht="12.75" x14ac:dyDescent="0.25"/>
    <row r="207" s="39" customFormat="1" ht="12.75" x14ac:dyDescent="0.25"/>
    <row r="208" s="39" customFormat="1" ht="12.75" x14ac:dyDescent="0.25"/>
    <row r="209" s="39" customFormat="1" ht="12.75" x14ac:dyDescent="0.25"/>
    <row r="210" s="39" customFormat="1" ht="12.75" x14ac:dyDescent="0.25"/>
    <row r="211" s="39" customFormat="1" ht="12.75" x14ac:dyDescent="0.25"/>
    <row r="212" s="39" customFormat="1" ht="12.75" x14ac:dyDescent="0.25"/>
    <row r="213" s="39" customFormat="1" ht="12.75" x14ac:dyDescent="0.25"/>
    <row r="214" s="39" customFormat="1" ht="12.75" x14ac:dyDescent="0.25"/>
    <row r="215" s="39" customFormat="1" ht="12.75" x14ac:dyDescent="0.25"/>
    <row r="216" s="39" customFormat="1" ht="12.75" x14ac:dyDescent="0.25"/>
    <row r="217" s="39" customFormat="1" ht="12.75" x14ac:dyDescent="0.25"/>
    <row r="218" s="39" customFormat="1" ht="12.75" x14ac:dyDescent="0.25"/>
    <row r="219" s="39" customFormat="1" ht="12.75" x14ac:dyDescent="0.25"/>
    <row r="220" s="39" customFormat="1" ht="12.75" x14ac:dyDescent="0.25"/>
    <row r="221" s="39" customFormat="1" ht="12.75" x14ac:dyDescent="0.25"/>
    <row r="222" s="39" customFormat="1" ht="12.75" x14ac:dyDescent="0.25"/>
    <row r="223" s="39" customFormat="1" ht="12.75" x14ac:dyDescent="0.25"/>
    <row r="224" s="39" customFormat="1" ht="12.75" x14ac:dyDescent="0.25"/>
    <row r="225" s="39" customFormat="1" ht="12.75" x14ac:dyDescent="0.25"/>
    <row r="226" s="39" customFormat="1" ht="12.75" x14ac:dyDescent="0.25"/>
    <row r="227" s="39" customFormat="1" ht="12.75" x14ac:dyDescent="0.25"/>
    <row r="228" s="39" customFormat="1" ht="12.75" x14ac:dyDescent="0.25"/>
    <row r="229" s="39" customFormat="1" ht="12.75" x14ac:dyDescent="0.25"/>
    <row r="230" s="39" customFormat="1" ht="12.75" x14ac:dyDescent="0.25"/>
    <row r="231" s="39" customFormat="1" ht="12.75" x14ac:dyDescent="0.25"/>
    <row r="232" s="39" customFormat="1" ht="12.75" x14ac:dyDescent="0.25"/>
    <row r="233" s="39" customFormat="1" ht="12.75" x14ac:dyDescent="0.25"/>
    <row r="234" s="39" customFormat="1" ht="12.75" x14ac:dyDescent="0.25"/>
    <row r="235" s="39" customFormat="1" ht="12.75" x14ac:dyDescent="0.25"/>
    <row r="236" s="39" customFormat="1" ht="12.75" x14ac:dyDescent="0.25"/>
    <row r="237" s="39" customFormat="1" ht="12.75" x14ac:dyDescent="0.25"/>
    <row r="238" s="39" customFormat="1" ht="12.75" x14ac:dyDescent="0.25"/>
    <row r="239" s="39" customFormat="1" ht="12.75" x14ac:dyDescent="0.25"/>
    <row r="240" s="39" customFormat="1" ht="12.75" x14ac:dyDescent="0.25"/>
    <row r="241" s="39" customFormat="1" ht="12.75" x14ac:dyDescent="0.25"/>
    <row r="242" s="39" customFormat="1" ht="12.75" x14ac:dyDescent="0.25"/>
    <row r="243" s="39" customFormat="1" ht="12.75" x14ac:dyDescent="0.25"/>
    <row r="244" s="39" customFormat="1" ht="12.75" x14ac:dyDescent="0.25"/>
    <row r="245" s="39" customFormat="1" ht="12.75" x14ac:dyDescent="0.25"/>
    <row r="246" s="39" customFormat="1" ht="12.75" x14ac:dyDescent="0.25"/>
    <row r="247" s="39" customFormat="1" ht="12.75" x14ac:dyDescent="0.25"/>
    <row r="248" s="39" customFormat="1" ht="12.75" x14ac:dyDescent="0.25"/>
    <row r="249" s="39" customFormat="1" ht="12.75" x14ac:dyDescent="0.25"/>
    <row r="250" s="39" customFormat="1" ht="12.75" x14ac:dyDescent="0.25"/>
    <row r="251" s="39" customFormat="1" ht="12.75" x14ac:dyDescent="0.25"/>
    <row r="252" s="39" customFormat="1" ht="12.75" x14ac:dyDescent="0.25"/>
    <row r="253" s="39" customFormat="1" ht="12.75" x14ac:dyDescent="0.25"/>
    <row r="254" s="39" customFormat="1" ht="12.75" x14ac:dyDescent="0.25"/>
    <row r="255" s="39" customFormat="1" ht="12.75" x14ac:dyDescent="0.25"/>
    <row r="256" s="39" customFormat="1" ht="12.75" x14ac:dyDescent="0.25"/>
    <row r="257" s="39" customFormat="1" ht="12.75" x14ac:dyDescent="0.25"/>
    <row r="258" s="39" customFormat="1" ht="12.75" x14ac:dyDescent="0.25"/>
    <row r="259" s="39" customFormat="1" ht="12.75" x14ac:dyDescent="0.25"/>
    <row r="260" s="39" customFormat="1" ht="12.75" x14ac:dyDescent="0.25"/>
    <row r="261" s="39" customFormat="1" ht="12.75" x14ac:dyDescent="0.25"/>
    <row r="262" s="39" customFormat="1" ht="12.75" x14ac:dyDescent="0.25"/>
    <row r="263" s="39" customFormat="1" ht="12.75" x14ac:dyDescent="0.25"/>
    <row r="264" s="39" customFormat="1" ht="12.75" x14ac:dyDescent="0.25"/>
    <row r="265" s="39" customFormat="1" ht="12.75" x14ac:dyDescent="0.25"/>
    <row r="266" s="39" customFormat="1" ht="12.75" x14ac:dyDescent="0.25"/>
    <row r="267" s="39" customFormat="1" ht="12.75" x14ac:dyDescent="0.25"/>
    <row r="268" s="39" customFormat="1" ht="12.75" x14ac:dyDescent="0.25"/>
    <row r="269" s="39" customFormat="1" ht="12.75" x14ac:dyDescent="0.25"/>
    <row r="270" s="39" customFormat="1" ht="12.75" x14ac:dyDescent="0.25"/>
    <row r="271" s="39" customFormat="1" ht="12.75" x14ac:dyDescent="0.25"/>
    <row r="272" s="39" customFormat="1" ht="12.75" x14ac:dyDescent="0.25"/>
    <row r="273" s="39" customFormat="1" ht="12.75" x14ac:dyDescent="0.25"/>
    <row r="274" s="39" customFormat="1" ht="12.75" x14ac:dyDescent="0.25"/>
    <row r="275" s="39" customFormat="1" ht="12.75" x14ac:dyDescent="0.25"/>
    <row r="276" s="39" customFormat="1" ht="12.75" x14ac:dyDescent="0.25"/>
    <row r="277" s="39" customFormat="1" ht="12.75" x14ac:dyDescent="0.25"/>
    <row r="278" s="39" customFormat="1" ht="12.75" x14ac:dyDescent="0.25"/>
    <row r="279" s="39" customFormat="1" ht="12.75" x14ac:dyDescent="0.25"/>
    <row r="280" s="39" customFormat="1" ht="12.75" x14ac:dyDescent="0.25"/>
    <row r="281" s="39" customFormat="1" ht="12.75" x14ac:dyDescent="0.25"/>
    <row r="282" s="39" customFormat="1" ht="12.75" x14ac:dyDescent="0.25"/>
    <row r="283" s="39" customFormat="1" ht="12.75" x14ac:dyDescent="0.25"/>
    <row r="284" s="39" customFormat="1" ht="12.75" x14ac:dyDescent="0.25"/>
    <row r="285" s="39" customFormat="1" ht="12.75" x14ac:dyDescent="0.25"/>
    <row r="286" s="39" customFormat="1" ht="12.75" x14ac:dyDescent="0.25"/>
    <row r="287" s="39" customFormat="1" ht="12.75" x14ac:dyDescent="0.25"/>
    <row r="288" s="39" customFormat="1" ht="12.75" x14ac:dyDescent="0.25"/>
    <row r="289" s="39" customFormat="1" ht="12.75" x14ac:dyDescent="0.25"/>
    <row r="290" s="39" customFormat="1" ht="12.75" x14ac:dyDescent="0.25"/>
    <row r="291" s="39" customFormat="1" ht="12.75" x14ac:dyDescent="0.25"/>
    <row r="292" s="39" customFormat="1" ht="12.75" x14ac:dyDescent="0.25"/>
    <row r="293" s="39" customFormat="1" ht="12.75" x14ac:dyDescent="0.25"/>
    <row r="294" s="39" customFormat="1" ht="12.75" x14ac:dyDescent="0.25"/>
    <row r="295" s="39" customFormat="1" ht="12.75" x14ac:dyDescent="0.25"/>
    <row r="296" s="39" customFormat="1" ht="12.75" x14ac:dyDescent="0.25"/>
    <row r="297" s="39" customFormat="1" ht="12.75" x14ac:dyDescent="0.25"/>
    <row r="298" s="39" customFormat="1" ht="12.75" x14ac:dyDescent="0.25"/>
    <row r="299" s="39" customFormat="1" ht="12.75" x14ac:dyDescent="0.25"/>
    <row r="300" s="39" customFormat="1" ht="12.75" x14ac:dyDescent="0.25"/>
    <row r="301" s="39" customFormat="1" ht="12.75" x14ac:dyDescent="0.25"/>
    <row r="302" s="39" customFormat="1" ht="12.75" x14ac:dyDescent="0.25"/>
    <row r="303" s="39" customFormat="1" ht="12.75" x14ac:dyDescent="0.25"/>
    <row r="304" s="39" customFormat="1" ht="12.75" x14ac:dyDescent="0.25"/>
    <row r="305" s="39" customFormat="1" ht="12.75" x14ac:dyDescent="0.25"/>
    <row r="306" s="39" customFormat="1" ht="12.75" x14ac:dyDescent="0.25"/>
    <row r="307" s="39" customFormat="1" ht="12.75" x14ac:dyDescent="0.25"/>
    <row r="308" s="39" customFormat="1" ht="12.75" x14ac:dyDescent="0.25"/>
    <row r="309" s="39" customFormat="1" ht="12.75" x14ac:dyDescent="0.25"/>
    <row r="310" s="39" customFormat="1" ht="12.75" x14ac:dyDescent="0.25"/>
    <row r="311" s="39" customFormat="1" ht="12.75" x14ac:dyDescent="0.25"/>
    <row r="312" s="39" customFormat="1" ht="12.75" x14ac:dyDescent="0.25"/>
    <row r="313" s="39" customFormat="1" ht="12.75" x14ac:dyDescent="0.25"/>
    <row r="314" s="39" customFormat="1" ht="12.75" x14ac:dyDescent="0.25"/>
    <row r="315" s="39" customFormat="1" ht="12.75" x14ac:dyDescent="0.25"/>
    <row r="316" s="39" customFormat="1" ht="12.75" x14ac:dyDescent="0.25"/>
    <row r="317" s="39" customFormat="1" ht="12.75" x14ac:dyDescent="0.25"/>
    <row r="318" s="39" customFormat="1" ht="12.75" x14ac:dyDescent="0.25"/>
    <row r="319" s="39" customFormat="1" ht="12.75" x14ac:dyDescent="0.25"/>
    <row r="320" s="39" customFormat="1" ht="12.75" x14ac:dyDescent="0.25"/>
    <row r="321" s="39" customFormat="1" ht="12.75" x14ac:dyDescent="0.25"/>
    <row r="322" s="39" customFormat="1" ht="12.75" x14ac:dyDescent="0.25"/>
    <row r="323" s="39" customFormat="1" ht="12.75" x14ac:dyDescent="0.25"/>
    <row r="324" s="39" customFormat="1" ht="12.75" x14ac:dyDescent="0.25"/>
    <row r="325" s="39" customFormat="1" ht="12.75" x14ac:dyDescent="0.25"/>
    <row r="326" s="39" customFormat="1" ht="12.75" x14ac:dyDescent="0.25"/>
    <row r="327" s="39" customFormat="1" ht="12.75" x14ac:dyDescent="0.25"/>
    <row r="328" s="39" customFormat="1" ht="12.75" x14ac:dyDescent="0.25"/>
    <row r="329" s="39" customFormat="1" ht="12.75" x14ac:dyDescent="0.25"/>
    <row r="330" s="39" customFormat="1" ht="12.75" x14ac:dyDescent="0.25"/>
    <row r="331" s="39" customFormat="1" ht="12.75" x14ac:dyDescent="0.25"/>
    <row r="332" s="39" customFormat="1" ht="12.75" x14ac:dyDescent="0.25"/>
    <row r="333" s="39" customFormat="1" ht="12.75" x14ac:dyDescent="0.25"/>
    <row r="334" s="39" customFormat="1" ht="12.75" x14ac:dyDescent="0.25"/>
    <row r="335" s="39" customFormat="1" ht="12.75" x14ac:dyDescent="0.25"/>
    <row r="336" s="39" customFormat="1" ht="12.75" x14ac:dyDescent="0.25"/>
    <row r="337" s="39" customFormat="1" ht="12.75" x14ac:dyDescent="0.25"/>
    <row r="338" s="39" customFormat="1" ht="12.75" x14ac:dyDescent="0.25"/>
    <row r="339" s="39" customFormat="1" ht="12.75" x14ac:dyDescent="0.25"/>
    <row r="340" s="39" customFormat="1" ht="12.75" x14ac:dyDescent="0.25"/>
    <row r="341" s="39" customFormat="1" ht="12.75" x14ac:dyDescent="0.25"/>
    <row r="342" s="39" customFormat="1" ht="12.75" x14ac:dyDescent="0.25"/>
    <row r="343" s="39" customFormat="1" ht="12.75" x14ac:dyDescent="0.25"/>
    <row r="344" s="39" customFormat="1" ht="12.75" x14ac:dyDescent="0.25"/>
    <row r="345" s="39" customFormat="1" ht="12.75" x14ac:dyDescent="0.25"/>
    <row r="346" s="39" customFormat="1" ht="12.75" x14ac:dyDescent="0.25"/>
    <row r="347" s="39" customFormat="1" ht="12.75" x14ac:dyDescent="0.25"/>
    <row r="348" s="39" customFormat="1" ht="12.75" x14ac:dyDescent="0.25"/>
    <row r="349" s="39" customFormat="1" ht="12.75" x14ac:dyDescent="0.25"/>
    <row r="350" s="39" customFormat="1" ht="12.75" x14ac:dyDescent="0.25"/>
    <row r="351" s="39" customFormat="1" ht="12.75" x14ac:dyDescent="0.25"/>
    <row r="352" s="39" customFormat="1" ht="12.75" x14ac:dyDescent="0.25"/>
    <row r="353" s="39" customFormat="1" ht="12.75" x14ac:dyDescent="0.25"/>
    <row r="354" s="39" customFormat="1" ht="12.75" x14ac:dyDescent="0.25"/>
    <row r="355" s="39" customFormat="1" ht="12.75" x14ac:dyDescent="0.25"/>
    <row r="356" s="39" customFormat="1" ht="12.75" x14ac:dyDescent="0.25"/>
    <row r="357" s="39" customFormat="1" ht="12.75" x14ac:dyDescent="0.25"/>
    <row r="358" s="39" customFormat="1" ht="12.75" x14ac:dyDescent="0.25"/>
    <row r="359" s="39" customFormat="1" ht="12.75" x14ac:dyDescent="0.25"/>
    <row r="360" s="39" customFormat="1" ht="12.75" x14ac:dyDescent="0.25"/>
    <row r="361" s="39" customFormat="1" ht="12.75" x14ac:dyDescent="0.25"/>
    <row r="362" s="39" customFormat="1" ht="12.75" x14ac:dyDescent="0.25"/>
    <row r="363" s="39" customFormat="1" ht="12.75" x14ac:dyDescent="0.25"/>
    <row r="364" s="39" customFormat="1" ht="12.75" x14ac:dyDescent="0.25"/>
    <row r="365" s="39" customFormat="1" ht="12.75" x14ac:dyDescent="0.25"/>
    <row r="366" s="39" customFormat="1" ht="12.75" x14ac:dyDescent="0.25"/>
    <row r="367" s="39" customFormat="1" ht="12.75" x14ac:dyDescent="0.25"/>
    <row r="368" s="39" customFormat="1" ht="12.75" x14ac:dyDescent="0.25"/>
    <row r="369" s="39" customFormat="1" ht="12.75" x14ac:dyDescent="0.25"/>
    <row r="370" s="39" customFormat="1" ht="12.75" x14ac:dyDescent="0.25"/>
    <row r="371" s="39" customFormat="1" ht="12.75" x14ac:dyDescent="0.25"/>
    <row r="372" s="39" customFormat="1" ht="12.75" x14ac:dyDescent="0.25"/>
    <row r="373" s="39" customFormat="1" ht="12.75" x14ac:dyDescent="0.25"/>
    <row r="374" s="39" customFormat="1" ht="12.75" x14ac:dyDescent="0.25"/>
    <row r="375" s="39" customFormat="1" ht="12.75" x14ac:dyDescent="0.25"/>
    <row r="376" s="39" customFormat="1" ht="12.75" x14ac:dyDescent="0.25"/>
    <row r="377" s="39" customFormat="1" ht="12.75" x14ac:dyDescent="0.25"/>
    <row r="378" s="39" customFormat="1" ht="12.75" x14ac:dyDescent="0.25"/>
    <row r="379" s="39" customFormat="1" ht="12.75" x14ac:dyDescent="0.25"/>
    <row r="380" s="39" customFormat="1" ht="12.75" x14ac:dyDescent="0.25"/>
    <row r="381" s="39" customFormat="1" ht="12.75" x14ac:dyDescent="0.25"/>
    <row r="382" s="39" customFormat="1" ht="12.75" x14ac:dyDescent="0.25"/>
    <row r="383" s="39" customFormat="1" ht="12.75" x14ac:dyDescent="0.25"/>
    <row r="384" s="39" customFormat="1" ht="12.75" x14ac:dyDescent="0.25"/>
    <row r="385" s="39" customFormat="1" ht="12.75" x14ac:dyDescent="0.25"/>
    <row r="386" s="39" customFormat="1" ht="12.75" x14ac:dyDescent="0.25"/>
    <row r="387" s="39" customFormat="1" ht="12.75" x14ac:dyDescent="0.25"/>
    <row r="388" s="39" customFormat="1" ht="12.75" x14ac:dyDescent="0.25"/>
    <row r="389" s="39" customFormat="1" ht="12.75" x14ac:dyDescent="0.25"/>
    <row r="390" s="39" customFormat="1" ht="12.75" x14ac:dyDescent="0.25"/>
    <row r="391" s="39" customFormat="1" ht="12.75" x14ac:dyDescent="0.25"/>
    <row r="392" s="39" customFormat="1" ht="12.75" x14ac:dyDescent="0.25"/>
    <row r="393" s="39" customFormat="1" ht="12.75" x14ac:dyDescent="0.25"/>
    <row r="394" s="39" customFormat="1" ht="12.75" x14ac:dyDescent="0.25"/>
    <row r="395" s="39" customFormat="1" ht="12.75" x14ac:dyDescent="0.25"/>
    <row r="396" s="39" customFormat="1" ht="12.75" x14ac:dyDescent="0.25"/>
    <row r="397" s="39" customFormat="1" ht="12.75" x14ac:dyDescent="0.25"/>
    <row r="398" s="39" customFormat="1" ht="12.75" x14ac:dyDescent="0.25"/>
    <row r="399" s="39" customFormat="1" ht="12.75" x14ac:dyDescent="0.25"/>
    <row r="400" s="39" customFormat="1" ht="12.75" x14ac:dyDescent="0.25"/>
    <row r="401" s="39" customFormat="1" ht="12.75" x14ac:dyDescent="0.25"/>
    <row r="402" s="39" customFormat="1" ht="12.75" x14ac:dyDescent="0.25"/>
    <row r="403" s="39" customFormat="1" ht="12.75" x14ac:dyDescent="0.25"/>
    <row r="404" s="39" customFormat="1" ht="12.75" x14ac:dyDescent="0.25"/>
    <row r="405" s="39" customFormat="1" ht="12.75" x14ac:dyDescent="0.25"/>
    <row r="406" s="39" customFormat="1" ht="12.75" x14ac:dyDescent="0.25"/>
    <row r="407" s="39" customFormat="1" ht="12.75" x14ac:dyDescent="0.25"/>
    <row r="408" s="39" customFormat="1" ht="12.75" x14ac:dyDescent="0.25"/>
    <row r="409" s="39" customFormat="1" ht="12.75" x14ac:dyDescent="0.25"/>
    <row r="410" s="39" customFormat="1" ht="12.75" x14ac:dyDescent="0.25"/>
    <row r="411" s="39" customFormat="1" ht="12.75" x14ac:dyDescent="0.25"/>
    <row r="412" s="39" customFormat="1" ht="12.75" x14ac:dyDescent="0.25"/>
    <row r="413" s="39" customFormat="1" ht="12.75" x14ac:dyDescent="0.25"/>
    <row r="414" s="39" customFormat="1" ht="12.75" x14ac:dyDescent="0.25"/>
    <row r="415" s="39" customFormat="1" ht="12.75" x14ac:dyDescent="0.25"/>
    <row r="416" s="39" customFormat="1" ht="12.75" x14ac:dyDescent="0.25"/>
    <row r="417" s="39" customFormat="1" ht="12.75" x14ac:dyDescent="0.25"/>
    <row r="418" s="39" customFormat="1" ht="12.75" x14ac:dyDescent="0.25"/>
    <row r="419" s="39" customFormat="1" ht="12.75" x14ac:dyDescent="0.25"/>
    <row r="420" s="39" customFormat="1" ht="12.75" x14ac:dyDescent="0.25"/>
    <row r="421" s="39" customFormat="1" ht="12.75" x14ac:dyDescent="0.25"/>
    <row r="422" s="39" customFormat="1" ht="12.75" x14ac:dyDescent="0.25"/>
    <row r="423" s="39" customFormat="1" ht="12.75" x14ac:dyDescent="0.25"/>
    <row r="424" s="39" customFormat="1" ht="12.75" x14ac:dyDescent="0.25"/>
    <row r="425" s="39" customFormat="1" ht="12.75" x14ac:dyDescent="0.25"/>
    <row r="426" s="39" customFormat="1" ht="12.75" x14ac:dyDescent="0.25"/>
    <row r="427" s="39" customFormat="1" ht="12.75" x14ac:dyDescent="0.25"/>
    <row r="428" s="39" customFormat="1" ht="12.75" x14ac:dyDescent="0.25"/>
    <row r="429" s="39" customFormat="1" ht="12.75" x14ac:dyDescent="0.25"/>
    <row r="430" s="39" customFormat="1" ht="12.75" x14ac:dyDescent="0.25"/>
    <row r="431" s="39" customFormat="1" ht="12.75" x14ac:dyDescent="0.25"/>
    <row r="432" s="39" customFormat="1" ht="12.75" x14ac:dyDescent="0.25"/>
    <row r="433" s="39" customFormat="1" ht="12.75" x14ac:dyDescent="0.25"/>
    <row r="434" s="39" customFormat="1" ht="12.75" x14ac:dyDescent="0.25"/>
    <row r="435" s="39" customFormat="1" ht="12.75" x14ac:dyDescent="0.25"/>
    <row r="436" s="39" customFormat="1" ht="12.75" x14ac:dyDescent="0.25"/>
    <row r="437" s="39" customFormat="1" ht="12.75" x14ac:dyDescent="0.25"/>
    <row r="438" s="39" customFormat="1" ht="12.75" x14ac:dyDescent="0.25"/>
    <row r="439" s="39" customFormat="1" ht="12.75" x14ac:dyDescent="0.25"/>
    <row r="440" s="39" customFormat="1" ht="12.75" x14ac:dyDescent="0.25"/>
    <row r="441" s="39" customFormat="1" ht="12.75" x14ac:dyDescent="0.25"/>
    <row r="442" s="39" customFormat="1" ht="12.75" x14ac:dyDescent="0.25"/>
    <row r="443" s="39" customFormat="1" ht="12.75" x14ac:dyDescent="0.25"/>
    <row r="444" s="39" customFormat="1" ht="12.75" x14ac:dyDescent="0.25"/>
    <row r="445" s="39" customFormat="1" ht="12.75" x14ac:dyDescent="0.25"/>
    <row r="446" s="39" customFormat="1" ht="12.75" x14ac:dyDescent="0.25"/>
    <row r="447" s="39" customFormat="1" ht="12.75" x14ac:dyDescent="0.25"/>
    <row r="448" s="39" customFormat="1" ht="12.75" x14ac:dyDescent="0.25"/>
    <row r="449" s="39" customFormat="1" ht="12.75" x14ac:dyDescent="0.25"/>
    <row r="450" s="39" customFormat="1" ht="12.75" x14ac:dyDescent="0.25"/>
    <row r="451" s="39" customFormat="1" ht="12.75" x14ac:dyDescent="0.25"/>
    <row r="452" s="39" customFormat="1" ht="12.75" x14ac:dyDescent="0.25"/>
    <row r="453" s="39" customFormat="1" ht="12.75" x14ac:dyDescent="0.25"/>
    <row r="454" s="39" customFormat="1" ht="12.75" x14ac:dyDescent="0.25"/>
    <row r="455" s="39" customFormat="1" ht="12.75" x14ac:dyDescent="0.25"/>
    <row r="456" s="39" customFormat="1" ht="12.75" x14ac:dyDescent="0.25"/>
    <row r="457" s="39" customFormat="1" ht="12.75" x14ac:dyDescent="0.25"/>
    <row r="458" s="39" customFormat="1" ht="12.75" x14ac:dyDescent="0.25"/>
    <row r="459" s="39" customFormat="1" ht="12.75" x14ac:dyDescent="0.25"/>
    <row r="460" s="39" customFormat="1" ht="12.75" x14ac:dyDescent="0.25"/>
    <row r="461" s="39" customFormat="1" ht="12.75" x14ac:dyDescent="0.25"/>
    <row r="462" s="39" customFormat="1" ht="12.75" x14ac:dyDescent="0.25"/>
    <row r="463" s="39" customFormat="1" ht="12.75" x14ac:dyDescent="0.25"/>
    <row r="464" s="39" customFormat="1" ht="12.75" x14ac:dyDescent="0.25"/>
    <row r="465" s="39" customFormat="1" ht="12.75" x14ac:dyDescent="0.25"/>
    <row r="466" s="39" customFormat="1" ht="12.75" x14ac:dyDescent="0.25"/>
    <row r="467" s="39" customFormat="1" ht="12.75" x14ac:dyDescent="0.25"/>
    <row r="468" s="39" customFormat="1" ht="12.75" x14ac:dyDescent="0.25"/>
    <row r="469" s="39" customFormat="1" ht="12.75" x14ac:dyDescent="0.25"/>
    <row r="470" s="39" customFormat="1" ht="12.75" x14ac:dyDescent="0.25"/>
    <row r="471" s="39" customFormat="1" ht="12.75" x14ac:dyDescent="0.25"/>
    <row r="472" s="39" customFormat="1" ht="12.75" x14ac:dyDescent="0.25"/>
    <row r="473" s="39" customFormat="1" ht="12.75" x14ac:dyDescent="0.25"/>
    <row r="474" s="39" customFormat="1" ht="12.75" x14ac:dyDescent="0.25"/>
    <row r="475" s="39" customFormat="1" ht="12.75" x14ac:dyDescent="0.25"/>
    <row r="476" s="39" customFormat="1" ht="12.75" x14ac:dyDescent="0.25"/>
    <row r="477" s="39" customFormat="1" ht="12.75" x14ac:dyDescent="0.25"/>
    <row r="478" s="39" customFormat="1" ht="12.75" x14ac:dyDescent="0.25"/>
    <row r="479" s="39" customFormat="1" ht="12.75" x14ac:dyDescent="0.25"/>
    <row r="480" s="39" customFormat="1" ht="12.75" x14ac:dyDescent="0.25"/>
    <row r="481" s="39" customFormat="1" ht="12.75" x14ac:dyDescent="0.25"/>
    <row r="482" s="39" customFormat="1" ht="12.75" x14ac:dyDescent="0.25"/>
    <row r="483" s="39" customFormat="1" ht="12.75" x14ac:dyDescent="0.25"/>
    <row r="484" s="39" customFormat="1" ht="12.75" x14ac:dyDescent="0.25"/>
    <row r="485" s="39" customFormat="1" ht="12.75" x14ac:dyDescent="0.25"/>
    <row r="486" s="39" customFormat="1" ht="12.75" x14ac:dyDescent="0.25"/>
    <row r="487" s="39" customFormat="1" ht="12.75" x14ac:dyDescent="0.25"/>
    <row r="488" s="39" customFormat="1" ht="12.75" x14ac:dyDescent="0.25"/>
    <row r="489" s="39" customFormat="1" ht="12.75" x14ac:dyDescent="0.25"/>
    <row r="490" s="39" customFormat="1" ht="12.75" x14ac:dyDescent="0.25"/>
    <row r="491" s="39" customFormat="1" ht="12.75" x14ac:dyDescent="0.25"/>
    <row r="492" s="39" customFormat="1" ht="12.75" x14ac:dyDescent="0.25"/>
    <row r="493" s="39" customFormat="1" ht="12.75" x14ac:dyDescent="0.25"/>
    <row r="494" s="39" customFormat="1" ht="12.75" x14ac:dyDescent="0.25"/>
    <row r="495" s="39" customFormat="1" ht="12.75" x14ac:dyDescent="0.25"/>
    <row r="496" s="39" customFormat="1" ht="12.75" x14ac:dyDescent="0.25"/>
    <row r="497" s="39" customFormat="1" ht="12.75" x14ac:dyDescent="0.25"/>
    <row r="498" s="39" customFormat="1" ht="12.75" x14ac:dyDescent="0.25"/>
    <row r="499" s="39" customFormat="1" ht="12.75" x14ac:dyDescent="0.25"/>
    <row r="500" s="39" customFormat="1" ht="12.75" x14ac:dyDescent="0.25"/>
    <row r="501" s="39" customFormat="1" ht="12.75" x14ac:dyDescent="0.25"/>
    <row r="502" s="39" customFormat="1" ht="12.75" x14ac:dyDescent="0.25"/>
    <row r="503" s="39" customFormat="1" ht="12.75" x14ac:dyDescent="0.25"/>
    <row r="504" s="39" customFormat="1" ht="12.75" x14ac:dyDescent="0.25"/>
    <row r="505" s="39" customFormat="1" ht="12.75" x14ac:dyDescent="0.25"/>
    <row r="506" s="39" customFormat="1" ht="12.75" x14ac:dyDescent="0.25"/>
    <row r="507" s="39" customFormat="1" ht="12.75" x14ac:dyDescent="0.25"/>
    <row r="508" s="39" customFormat="1" ht="12.75" x14ac:dyDescent="0.25"/>
    <row r="509" s="39" customFormat="1" ht="12.75" x14ac:dyDescent="0.25"/>
    <row r="510" s="39" customFormat="1" ht="12.75" x14ac:dyDescent="0.25"/>
    <row r="511" s="39" customFormat="1" ht="12.75" x14ac:dyDescent="0.25"/>
    <row r="512" s="39" customFormat="1" ht="12.75" x14ac:dyDescent="0.25"/>
    <row r="513" s="39" customFormat="1" ht="12.75" x14ac:dyDescent="0.25"/>
    <row r="514" s="39" customFormat="1" ht="12.75" x14ac:dyDescent="0.25"/>
    <row r="515" s="39" customFormat="1" ht="12.75" x14ac:dyDescent="0.25"/>
    <row r="516" s="39" customFormat="1" ht="12.75" x14ac:dyDescent="0.25"/>
    <row r="517" s="39" customFormat="1" ht="12.75" x14ac:dyDescent="0.25"/>
    <row r="518" s="39" customFormat="1" ht="12.75" x14ac:dyDescent="0.25"/>
    <row r="519" s="39" customFormat="1" ht="12.75" x14ac:dyDescent="0.25"/>
    <row r="520" s="39" customFormat="1" ht="12.75" x14ac:dyDescent="0.25"/>
    <row r="521" s="39" customFormat="1" ht="12.75" x14ac:dyDescent="0.25"/>
    <row r="522" s="39" customFormat="1" ht="12.75" x14ac:dyDescent="0.25"/>
    <row r="523" s="39" customFormat="1" ht="12.75" x14ac:dyDescent="0.25"/>
    <row r="524" s="39" customFormat="1" ht="12.75" x14ac:dyDescent="0.25"/>
    <row r="525" s="39" customFormat="1" ht="12.75" x14ac:dyDescent="0.25"/>
    <row r="526" s="39" customFormat="1" ht="12.75" x14ac:dyDescent="0.25"/>
    <row r="527" s="39" customFormat="1" ht="12.75" x14ac:dyDescent="0.25"/>
    <row r="528" s="39" customFormat="1" ht="12.75" x14ac:dyDescent="0.25"/>
    <row r="529" s="39" customFormat="1" ht="12.75" x14ac:dyDescent="0.25"/>
    <row r="530" s="39" customFormat="1" ht="12.75" x14ac:dyDescent="0.25"/>
    <row r="531" s="39" customFormat="1" ht="12.75" x14ac:dyDescent="0.25"/>
    <row r="532" s="39" customFormat="1" ht="12.75" x14ac:dyDescent="0.25"/>
    <row r="533" s="39" customFormat="1" ht="12.75" x14ac:dyDescent="0.25"/>
    <row r="534" s="39" customFormat="1" ht="12.75" x14ac:dyDescent="0.25"/>
    <row r="535" s="39" customFormat="1" ht="12.75" x14ac:dyDescent="0.25"/>
    <row r="536" s="39" customFormat="1" ht="12.75" x14ac:dyDescent="0.25"/>
    <row r="537" s="39" customFormat="1" ht="12.75" x14ac:dyDescent="0.25"/>
    <row r="538" s="39" customFormat="1" ht="12.75" x14ac:dyDescent="0.25"/>
    <row r="539" s="39" customFormat="1" ht="12.75" x14ac:dyDescent="0.25"/>
    <row r="540" s="39" customFormat="1" ht="12.75" x14ac:dyDescent="0.25"/>
    <row r="541" s="39" customFormat="1" ht="12.75" x14ac:dyDescent="0.25"/>
    <row r="542" s="39" customFormat="1" ht="12.75" x14ac:dyDescent="0.25"/>
    <row r="543" s="39" customFormat="1" ht="12.75" x14ac:dyDescent="0.25"/>
    <row r="544" s="39" customFormat="1" ht="12.75" x14ac:dyDescent="0.25"/>
    <row r="545" s="39" customFormat="1" ht="12.75" x14ac:dyDescent="0.25"/>
    <row r="546" s="39" customFormat="1" ht="12.75" x14ac:dyDescent="0.25"/>
    <row r="547" s="39" customFormat="1" ht="12.75" x14ac:dyDescent="0.25"/>
    <row r="548" s="39" customFormat="1" ht="12.75" x14ac:dyDescent="0.25"/>
    <row r="549" s="39" customFormat="1" ht="12.75" x14ac:dyDescent="0.25"/>
    <row r="550" s="39" customFormat="1" ht="12.75" x14ac:dyDescent="0.25"/>
    <row r="551" s="39" customFormat="1" ht="12.75" x14ac:dyDescent="0.25"/>
    <row r="552" s="39" customFormat="1" ht="12.75" x14ac:dyDescent="0.25"/>
    <row r="553" s="39" customFormat="1" ht="12.75" x14ac:dyDescent="0.25"/>
    <row r="554" s="39" customFormat="1" ht="12.75" x14ac:dyDescent="0.25"/>
    <row r="555" s="39" customFormat="1" ht="12.75" x14ac:dyDescent="0.25"/>
    <row r="556" s="39" customFormat="1" ht="12.75" x14ac:dyDescent="0.25"/>
    <row r="557" s="39" customFormat="1" ht="12.75" x14ac:dyDescent="0.25"/>
    <row r="558" s="39" customFormat="1" ht="12.75" x14ac:dyDescent="0.25"/>
    <row r="559" s="39" customFormat="1" ht="12.75" x14ac:dyDescent="0.25"/>
    <row r="560" s="39" customFormat="1" ht="12.75" x14ac:dyDescent="0.25"/>
    <row r="561" s="39" customFormat="1" ht="12.75" x14ac:dyDescent="0.25"/>
    <row r="562" s="39" customFormat="1" ht="12.75" x14ac:dyDescent="0.25"/>
    <row r="563" s="39" customFormat="1" ht="12.75" x14ac:dyDescent="0.25"/>
    <row r="564" s="39" customFormat="1" ht="12.75" x14ac:dyDescent="0.25"/>
    <row r="565" s="39" customFormat="1" ht="12.75" x14ac:dyDescent="0.25"/>
    <row r="566" s="39" customFormat="1" ht="12.75" x14ac:dyDescent="0.25"/>
    <row r="567" s="39" customFormat="1" ht="12.75" x14ac:dyDescent="0.25"/>
    <row r="568" s="39" customFormat="1" ht="12.75" x14ac:dyDescent="0.25"/>
    <row r="569" s="39" customFormat="1" ht="12.75" x14ac:dyDescent="0.25"/>
    <row r="570" s="39" customFormat="1" ht="12.75" x14ac:dyDescent="0.25"/>
    <row r="571" s="39" customFormat="1" ht="12.75" x14ac:dyDescent="0.25"/>
    <row r="572" s="39" customFormat="1" ht="12.75" x14ac:dyDescent="0.25"/>
    <row r="573" s="39" customFormat="1" ht="12.75" x14ac:dyDescent="0.25"/>
    <row r="574" s="39" customFormat="1" ht="12.75" x14ac:dyDescent="0.25"/>
    <row r="575" s="39" customFormat="1" ht="12.75" x14ac:dyDescent="0.25"/>
    <row r="576" s="39" customFormat="1" ht="12.75" x14ac:dyDescent="0.25"/>
    <row r="577" s="39" customFormat="1" ht="12.75" x14ac:dyDescent="0.25"/>
    <row r="578" s="39" customFormat="1" ht="12.75" x14ac:dyDescent="0.25"/>
    <row r="579" s="39" customFormat="1" ht="12.75" x14ac:dyDescent="0.25"/>
    <row r="580" s="39" customFormat="1" ht="12.75" x14ac:dyDescent="0.25"/>
    <row r="581" s="39" customFormat="1" ht="12.75" x14ac:dyDescent="0.25"/>
    <row r="582" s="39" customFormat="1" ht="12.75" x14ac:dyDescent="0.25"/>
    <row r="583" s="39" customFormat="1" ht="12.75" x14ac:dyDescent="0.25"/>
    <row r="584" s="39" customFormat="1" ht="12.75" x14ac:dyDescent="0.25"/>
    <row r="585" s="39" customFormat="1" ht="12.75" x14ac:dyDescent="0.25"/>
    <row r="586" s="39" customFormat="1" ht="12.75" x14ac:dyDescent="0.25"/>
    <row r="587" s="39" customFormat="1" ht="12.75" x14ac:dyDescent="0.25"/>
    <row r="588" s="39" customFormat="1" ht="12.75" x14ac:dyDescent="0.25"/>
    <row r="589" s="39" customFormat="1" ht="12.75" x14ac:dyDescent="0.25"/>
    <row r="590" s="39" customFormat="1" ht="12.75" x14ac:dyDescent="0.25"/>
    <row r="591" s="39" customFormat="1" ht="12.75" x14ac:dyDescent="0.25"/>
    <row r="592" s="39" customFormat="1" ht="12.75" x14ac:dyDescent="0.25"/>
    <row r="593" s="39" customFormat="1" ht="12.75" x14ac:dyDescent="0.25"/>
    <row r="594" s="39" customFormat="1" ht="12.75" x14ac:dyDescent="0.25"/>
    <row r="595" s="39" customFormat="1" ht="12.75" x14ac:dyDescent="0.25"/>
    <row r="596" s="39" customFormat="1" ht="12.75" x14ac:dyDescent="0.25"/>
    <row r="597" s="39" customFormat="1" ht="12.75" x14ac:dyDescent="0.25"/>
    <row r="598" s="39" customFormat="1" ht="12.75" x14ac:dyDescent="0.25"/>
    <row r="599" s="39" customFormat="1" ht="12.75" x14ac:dyDescent="0.25"/>
    <row r="600" s="39" customFormat="1" ht="12.75" x14ac:dyDescent="0.25"/>
    <row r="601" s="39" customFormat="1" ht="12.75" x14ac:dyDescent="0.25"/>
    <row r="602" s="39" customFormat="1" ht="12.75" x14ac:dyDescent="0.25"/>
    <row r="603" s="39" customFormat="1" ht="12.75" x14ac:dyDescent="0.25"/>
    <row r="604" s="39" customFormat="1" ht="12.75" x14ac:dyDescent="0.25"/>
    <row r="605" s="39" customFormat="1" ht="12.75" x14ac:dyDescent="0.25"/>
    <row r="606" s="39" customFormat="1" ht="12.75" x14ac:dyDescent="0.25"/>
    <row r="607" s="39" customFormat="1" ht="12.75" x14ac:dyDescent="0.25"/>
    <row r="608" s="39" customFormat="1" ht="12.75" x14ac:dyDescent="0.25"/>
    <row r="609" s="39" customFormat="1" ht="12.75" x14ac:dyDescent="0.25"/>
    <row r="610" s="39" customFormat="1" ht="12.75" x14ac:dyDescent="0.25"/>
    <row r="611" s="39" customFormat="1" ht="12.75" x14ac:dyDescent="0.25"/>
    <row r="612" s="39" customFormat="1" ht="12.75" x14ac:dyDescent="0.25"/>
    <row r="613" s="39" customFormat="1" ht="12.75" x14ac:dyDescent="0.25"/>
    <row r="614" s="39" customFormat="1" ht="12.75" x14ac:dyDescent="0.25"/>
    <row r="615" s="39" customFormat="1" ht="12.75" x14ac:dyDescent="0.25"/>
    <row r="616" s="39" customFormat="1" ht="12.75" x14ac:dyDescent="0.25"/>
    <row r="617" s="39" customFormat="1" ht="12.75" x14ac:dyDescent="0.25"/>
    <row r="618" s="39" customFormat="1" ht="12.75" x14ac:dyDescent="0.25"/>
    <row r="619" s="39" customFormat="1" ht="12.75" x14ac:dyDescent="0.25"/>
    <row r="620" s="39" customFormat="1" ht="12.75" x14ac:dyDescent="0.25"/>
    <row r="621" s="39" customFormat="1" ht="12.75" x14ac:dyDescent="0.25"/>
    <row r="622" s="39" customFormat="1" ht="12.75" x14ac:dyDescent="0.25"/>
    <row r="623" s="39" customFormat="1" ht="12.75" x14ac:dyDescent="0.25"/>
    <row r="624" s="39" customFormat="1" ht="12.75" x14ac:dyDescent="0.25"/>
    <row r="625" s="39" customFormat="1" ht="12.75" x14ac:dyDescent="0.25"/>
    <row r="626" s="39" customFormat="1" ht="12.75" x14ac:dyDescent="0.25"/>
    <row r="627" s="39" customFormat="1" ht="12.75" x14ac:dyDescent="0.25"/>
    <row r="628" s="39" customFormat="1" ht="12.75" x14ac:dyDescent="0.25"/>
    <row r="629" s="39" customFormat="1" ht="12.75" x14ac:dyDescent="0.25"/>
    <row r="630" s="39" customFormat="1" ht="12.75" x14ac:dyDescent="0.25"/>
    <row r="631" s="39" customFormat="1" ht="12.75" x14ac:dyDescent="0.25"/>
    <row r="632" s="39" customFormat="1" ht="12.75" x14ac:dyDescent="0.25"/>
    <row r="633" s="39" customFormat="1" ht="12.75" x14ac:dyDescent="0.25"/>
    <row r="634" s="39" customFormat="1" ht="12.75" x14ac:dyDescent="0.25"/>
    <row r="635" s="39" customFormat="1" ht="12.75" x14ac:dyDescent="0.25"/>
    <row r="636" s="39" customFormat="1" ht="12.75" x14ac:dyDescent="0.25"/>
    <row r="637" s="39" customFormat="1" ht="12.75" x14ac:dyDescent="0.25"/>
    <row r="638" s="39" customFormat="1" ht="12.75" x14ac:dyDescent="0.25"/>
    <row r="639" s="39" customFormat="1" ht="12.75" x14ac:dyDescent="0.25"/>
    <row r="640" s="39" customFormat="1" ht="12.75" x14ac:dyDescent="0.25"/>
    <row r="641" s="39" customFormat="1" ht="12.75" x14ac:dyDescent="0.25"/>
    <row r="642" s="39" customFormat="1" ht="12.75" x14ac:dyDescent="0.25"/>
    <row r="643" s="39" customFormat="1" ht="12.75" x14ac:dyDescent="0.25"/>
    <row r="644" s="39" customFormat="1" ht="12.75" x14ac:dyDescent="0.25"/>
    <row r="645" s="39" customFormat="1" ht="12.75" x14ac:dyDescent="0.25"/>
    <row r="646" s="39" customFormat="1" ht="12.75" x14ac:dyDescent="0.25"/>
    <row r="647" s="39" customFormat="1" ht="12.75" x14ac:dyDescent="0.25"/>
    <row r="648" s="39" customFormat="1" ht="12.75" x14ac:dyDescent="0.25"/>
    <row r="649" s="39" customFormat="1" ht="12.75" x14ac:dyDescent="0.25"/>
    <row r="650" s="39" customFormat="1" ht="12.75" x14ac:dyDescent="0.25"/>
    <row r="651" s="39" customFormat="1" ht="12.75" x14ac:dyDescent="0.25"/>
    <row r="652" s="39" customFormat="1" ht="12.75" x14ac:dyDescent="0.25"/>
    <row r="653" s="39" customFormat="1" ht="12.75" x14ac:dyDescent="0.25"/>
    <row r="654" s="39" customFormat="1" ht="12.75" x14ac:dyDescent="0.25"/>
    <row r="655" s="39" customFormat="1" ht="12.75" x14ac:dyDescent="0.25"/>
    <row r="656" s="39" customFormat="1" ht="12.75" x14ac:dyDescent="0.25"/>
    <row r="657" s="39" customFormat="1" ht="12.75" x14ac:dyDescent="0.25"/>
    <row r="658" s="39" customFormat="1" ht="12.75" x14ac:dyDescent="0.25"/>
    <row r="659" s="39" customFormat="1" ht="12.75" x14ac:dyDescent="0.25"/>
    <row r="660" s="39" customFormat="1" ht="12.75" x14ac:dyDescent="0.25"/>
    <row r="661" s="39" customFormat="1" ht="12.75" x14ac:dyDescent="0.25"/>
    <row r="662" s="39" customFormat="1" ht="12.75" x14ac:dyDescent="0.25"/>
    <row r="663" s="39" customFormat="1" ht="12.75" x14ac:dyDescent="0.25"/>
    <row r="664" s="39" customFormat="1" ht="12.75" x14ac:dyDescent="0.25"/>
    <row r="665" s="39" customFormat="1" ht="12.75" x14ac:dyDescent="0.25"/>
    <row r="666" s="39" customFormat="1" ht="12.75" x14ac:dyDescent="0.25"/>
    <row r="667" s="39" customFormat="1" ht="12.75" x14ac:dyDescent="0.25"/>
    <row r="668" s="39" customFormat="1" ht="12.75" x14ac:dyDescent="0.25"/>
    <row r="669" s="39" customFormat="1" ht="12.75" x14ac:dyDescent="0.25"/>
    <row r="670" s="39" customFormat="1" ht="12.75" x14ac:dyDescent="0.25"/>
    <row r="671" s="39" customFormat="1" ht="12.75" x14ac:dyDescent="0.25"/>
    <row r="672" s="39" customFormat="1" ht="12.75" x14ac:dyDescent="0.25"/>
    <row r="673" s="39" customFormat="1" ht="12.75" x14ac:dyDescent="0.25"/>
    <row r="674" s="39" customFormat="1" ht="12.75" x14ac:dyDescent="0.25"/>
    <row r="675" s="39" customFormat="1" ht="12.75" x14ac:dyDescent="0.25"/>
    <row r="676" s="39" customFormat="1" ht="12.75" x14ac:dyDescent="0.25"/>
    <row r="677" s="39" customFormat="1" ht="12.75" x14ac:dyDescent="0.25"/>
    <row r="678" s="39" customFormat="1" ht="12.75" x14ac:dyDescent="0.25"/>
    <row r="679" s="39" customFormat="1" ht="12.75" x14ac:dyDescent="0.25"/>
    <row r="680" s="39" customFormat="1" ht="12.75" x14ac:dyDescent="0.25"/>
    <row r="681" s="39" customFormat="1" ht="12.75" x14ac:dyDescent="0.25"/>
    <row r="682" s="39" customFormat="1" ht="12.75" x14ac:dyDescent="0.25"/>
    <row r="683" s="39" customFormat="1" ht="12.75" x14ac:dyDescent="0.25"/>
    <row r="684" s="39" customFormat="1" ht="12.75" x14ac:dyDescent="0.25"/>
    <row r="685" s="39" customFormat="1" ht="12.75" x14ac:dyDescent="0.25"/>
    <row r="686" s="39" customFormat="1" ht="12.75" x14ac:dyDescent="0.25"/>
    <row r="687" s="39" customFormat="1" ht="12.75" x14ac:dyDescent="0.25"/>
    <row r="688" s="39" customFormat="1" ht="12.75" x14ac:dyDescent="0.25"/>
    <row r="689" s="39" customFormat="1" ht="12.75" x14ac:dyDescent="0.25"/>
    <row r="690" s="39" customFormat="1" ht="12.75" x14ac:dyDescent="0.25"/>
    <row r="691" s="39" customFormat="1" ht="12.75" x14ac:dyDescent="0.25"/>
    <row r="692" s="39" customFormat="1" ht="12.75" x14ac:dyDescent="0.25"/>
    <row r="693" s="39" customFormat="1" ht="12.75" x14ac:dyDescent="0.25"/>
    <row r="694" s="39" customFormat="1" ht="12.75" x14ac:dyDescent="0.25"/>
    <row r="695" s="39" customFormat="1" ht="12.75" x14ac:dyDescent="0.25"/>
    <row r="696" s="39" customFormat="1" ht="12.75" x14ac:dyDescent="0.25"/>
    <row r="697" s="39" customFormat="1" ht="12.75" x14ac:dyDescent="0.25"/>
    <row r="698" s="39" customFormat="1" ht="12.75" x14ac:dyDescent="0.25"/>
    <row r="699" s="39" customFormat="1" ht="12.75" x14ac:dyDescent="0.25"/>
    <row r="700" s="39" customFormat="1" ht="12.75" x14ac:dyDescent="0.25"/>
    <row r="701" s="39" customFormat="1" ht="12.75" x14ac:dyDescent="0.25"/>
    <row r="702" s="39" customFormat="1" ht="12.75" x14ac:dyDescent="0.25"/>
    <row r="703" s="39" customFormat="1" ht="12.75" x14ac:dyDescent="0.25"/>
    <row r="704" s="39" customFormat="1" ht="12.75" x14ac:dyDescent="0.25"/>
    <row r="705" s="39" customFormat="1" ht="12.75" x14ac:dyDescent="0.25"/>
    <row r="706" s="39" customFormat="1" ht="12.75" x14ac:dyDescent="0.25"/>
    <row r="707" s="39" customFormat="1" ht="12.75" x14ac:dyDescent="0.25"/>
    <row r="708" s="39" customFormat="1" ht="12.75" x14ac:dyDescent="0.25"/>
    <row r="709" s="39" customFormat="1" ht="12.75" x14ac:dyDescent="0.25"/>
    <row r="710" s="39" customFormat="1" ht="12.75" x14ac:dyDescent="0.25"/>
    <row r="711" s="39" customFormat="1" ht="12.75" x14ac:dyDescent="0.25"/>
    <row r="712" s="39" customFormat="1" ht="12.75" x14ac:dyDescent="0.25"/>
    <row r="713" s="39" customFormat="1" ht="12.75" x14ac:dyDescent="0.25"/>
    <row r="714" s="39" customFormat="1" ht="12.75" x14ac:dyDescent="0.25"/>
    <row r="715" s="39" customFormat="1" ht="12.75" x14ac:dyDescent="0.25"/>
    <row r="716" s="39" customFormat="1" ht="12.75" x14ac:dyDescent="0.25"/>
    <row r="717" s="39" customFormat="1" ht="12.75" x14ac:dyDescent="0.25"/>
    <row r="718" s="39" customFormat="1" ht="12.75" x14ac:dyDescent="0.25"/>
    <row r="719" s="39" customFormat="1" ht="12.75" x14ac:dyDescent="0.25"/>
    <row r="720" s="39" customFormat="1" ht="12.75" x14ac:dyDescent="0.25"/>
    <row r="721" s="39" customFormat="1" ht="12.75" x14ac:dyDescent="0.25"/>
    <row r="722" s="39" customFormat="1" ht="12.75" x14ac:dyDescent="0.25"/>
    <row r="723" s="39" customFormat="1" ht="12.75" x14ac:dyDescent="0.25"/>
    <row r="724" s="39" customFormat="1" ht="12.75" x14ac:dyDescent="0.25"/>
    <row r="725" s="39" customFormat="1" ht="12.75" x14ac:dyDescent="0.25"/>
    <row r="726" s="39" customFormat="1" ht="12.75" x14ac:dyDescent="0.25"/>
    <row r="727" s="39" customFormat="1" ht="12.75" x14ac:dyDescent="0.25"/>
    <row r="728" s="39" customFormat="1" ht="12.75" x14ac:dyDescent="0.25"/>
    <row r="729" s="39" customFormat="1" ht="12.75" x14ac:dyDescent="0.25"/>
    <row r="730" s="39" customFormat="1" ht="12.75" x14ac:dyDescent="0.25"/>
    <row r="731" s="39" customFormat="1" ht="12.75" x14ac:dyDescent="0.25"/>
    <row r="732" s="39" customFormat="1" ht="12.75" x14ac:dyDescent="0.25"/>
    <row r="733" s="39" customFormat="1" ht="12.75" x14ac:dyDescent="0.25"/>
    <row r="734" s="39" customFormat="1" ht="12.75" x14ac:dyDescent="0.25"/>
    <row r="735" s="39" customFormat="1" ht="12.75" x14ac:dyDescent="0.25"/>
    <row r="736" s="39" customFormat="1" ht="12.75" x14ac:dyDescent="0.25"/>
    <row r="737" s="39" customFormat="1" ht="12.75" x14ac:dyDescent="0.25"/>
    <row r="738" s="39" customFormat="1" ht="12.75" x14ac:dyDescent="0.25"/>
    <row r="739" s="39" customFormat="1" ht="12.75" x14ac:dyDescent="0.25"/>
    <row r="740" s="39" customFormat="1" ht="12.75" x14ac:dyDescent="0.25"/>
    <row r="741" s="39" customFormat="1" ht="12.75" x14ac:dyDescent="0.25"/>
    <row r="742" s="39" customFormat="1" ht="12.75" x14ac:dyDescent="0.25"/>
    <row r="743" s="39" customFormat="1" ht="12.75" x14ac:dyDescent="0.25"/>
    <row r="744" s="39" customFormat="1" ht="12.75" x14ac:dyDescent="0.25"/>
    <row r="745" s="39" customFormat="1" ht="12.75" x14ac:dyDescent="0.25"/>
    <row r="746" s="39" customFormat="1" ht="12.75" x14ac:dyDescent="0.25"/>
    <row r="747" s="39" customFormat="1" ht="12.75" x14ac:dyDescent="0.25"/>
    <row r="748" s="39" customFormat="1" ht="12.75" x14ac:dyDescent="0.25"/>
    <row r="749" s="39" customFormat="1" ht="12.75" x14ac:dyDescent="0.25"/>
    <row r="750" s="39" customFormat="1" ht="12.75" x14ac:dyDescent="0.25"/>
    <row r="751" s="39" customFormat="1" ht="12.75" x14ac:dyDescent="0.25"/>
    <row r="752" s="39" customFormat="1" ht="12.75" x14ac:dyDescent="0.25"/>
    <row r="753" s="39" customFormat="1" ht="12.75" x14ac:dyDescent="0.25"/>
    <row r="754" s="39" customFormat="1" ht="12.75" x14ac:dyDescent="0.25"/>
    <row r="755" s="39" customFormat="1" ht="12.75" x14ac:dyDescent="0.25"/>
    <row r="756" s="39" customFormat="1" ht="12.75" x14ac:dyDescent="0.25"/>
    <row r="757" s="39" customFormat="1" ht="12.75" x14ac:dyDescent="0.25"/>
    <row r="758" s="39" customFormat="1" ht="12.75" x14ac:dyDescent="0.25"/>
    <row r="759" s="39" customFormat="1" ht="12.75" x14ac:dyDescent="0.25"/>
    <row r="760" s="39" customFormat="1" ht="12.75" x14ac:dyDescent="0.25"/>
    <row r="761" s="39" customFormat="1" ht="12.75" x14ac:dyDescent="0.25"/>
    <row r="762" s="39" customFormat="1" ht="12.75" x14ac:dyDescent="0.25"/>
    <row r="763" s="39" customFormat="1" ht="12.75" x14ac:dyDescent="0.25"/>
    <row r="764" s="39" customFormat="1" ht="12.75" x14ac:dyDescent="0.25"/>
    <row r="765" s="39" customFormat="1" ht="12.75" x14ac:dyDescent="0.25"/>
    <row r="766" s="39" customFormat="1" ht="12.75" x14ac:dyDescent="0.25"/>
    <row r="767" s="39" customFormat="1" ht="12.75" x14ac:dyDescent="0.25"/>
    <row r="768" s="39" customFormat="1" ht="12.75" x14ac:dyDescent="0.25"/>
    <row r="769" s="39" customFormat="1" ht="12.75" x14ac:dyDescent="0.25"/>
    <row r="770" s="39" customFormat="1" ht="12.75" x14ac:dyDescent="0.25"/>
    <row r="771" s="39" customFormat="1" ht="12.75" x14ac:dyDescent="0.25"/>
    <row r="772" s="39" customFormat="1" ht="12.75" x14ac:dyDescent="0.25"/>
    <row r="773" s="39" customFormat="1" ht="12.75" x14ac:dyDescent="0.25"/>
    <row r="774" s="39" customFormat="1" ht="12.75" x14ac:dyDescent="0.25"/>
    <row r="775" s="39" customFormat="1" ht="12.75" x14ac:dyDescent="0.25"/>
    <row r="776" s="39" customFormat="1" ht="12.75" x14ac:dyDescent="0.25"/>
    <row r="777" s="39" customFormat="1" ht="12.75" x14ac:dyDescent="0.25"/>
    <row r="778" s="39" customFormat="1" ht="12.75" x14ac:dyDescent="0.25"/>
    <row r="779" s="39" customFormat="1" ht="12.75" x14ac:dyDescent="0.25"/>
    <row r="780" s="39" customFormat="1" ht="12.75" x14ac:dyDescent="0.25"/>
    <row r="781" s="39" customFormat="1" ht="12.75" x14ac:dyDescent="0.25"/>
    <row r="782" s="39" customFormat="1" ht="12.75" x14ac:dyDescent="0.25"/>
    <row r="783" s="39" customFormat="1" ht="12.75" x14ac:dyDescent="0.25"/>
    <row r="784" s="39" customFormat="1" ht="12.75" x14ac:dyDescent="0.25"/>
    <row r="785" s="39" customFormat="1" ht="12.75" x14ac:dyDescent="0.25"/>
    <row r="786" s="39" customFormat="1" ht="12.75" x14ac:dyDescent="0.25"/>
    <row r="787" s="39" customFormat="1" ht="12.75" x14ac:dyDescent="0.25"/>
    <row r="788" s="39" customFormat="1" ht="12.75" x14ac:dyDescent="0.25"/>
    <row r="789" s="39" customFormat="1" ht="12.75" x14ac:dyDescent="0.25"/>
    <row r="790" s="39" customFormat="1" ht="12.75" x14ac:dyDescent="0.25"/>
    <row r="791" s="39" customFormat="1" ht="12.75" x14ac:dyDescent="0.25"/>
    <row r="792" s="39" customFormat="1" ht="12.75" x14ac:dyDescent="0.25"/>
    <row r="793" s="39" customFormat="1" ht="12.75" x14ac:dyDescent="0.25"/>
    <row r="794" s="39" customFormat="1" ht="12.75" x14ac:dyDescent="0.25"/>
    <row r="795" s="39" customFormat="1" ht="12.75" x14ac:dyDescent="0.25"/>
    <row r="796" s="39" customFormat="1" ht="12.75" x14ac:dyDescent="0.25"/>
    <row r="797" s="39" customFormat="1" ht="12.75" x14ac:dyDescent="0.25"/>
    <row r="798" s="39" customFormat="1" ht="12.75" x14ac:dyDescent="0.25"/>
    <row r="799" s="39" customFormat="1" ht="12.75" x14ac:dyDescent="0.25"/>
    <row r="800" s="39" customFormat="1" ht="12.75" x14ac:dyDescent="0.25"/>
    <row r="801" s="39" customFormat="1" ht="12.75" x14ac:dyDescent="0.25"/>
    <row r="802" s="39" customFormat="1" ht="12.75" x14ac:dyDescent="0.25"/>
    <row r="803" s="39" customFormat="1" ht="12.75" x14ac:dyDescent="0.25"/>
    <row r="804" s="39" customFormat="1" ht="12.75" x14ac:dyDescent="0.25"/>
    <row r="805" s="39" customFormat="1" ht="12.75" x14ac:dyDescent="0.25"/>
    <row r="806" s="39" customFormat="1" ht="12.75" x14ac:dyDescent="0.25"/>
    <row r="807" s="39" customFormat="1" ht="12.75" x14ac:dyDescent="0.25"/>
    <row r="808" s="39" customFormat="1" ht="12.75" x14ac:dyDescent="0.25"/>
    <row r="809" s="39" customFormat="1" ht="12.75" x14ac:dyDescent="0.25"/>
    <row r="810" s="39" customFormat="1" ht="12.75" x14ac:dyDescent="0.25"/>
    <row r="811" s="39" customFormat="1" ht="12.75" x14ac:dyDescent="0.25"/>
    <row r="812" s="39" customFormat="1" ht="12.75" x14ac:dyDescent="0.25"/>
    <row r="813" s="39" customFormat="1" ht="12.75" x14ac:dyDescent="0.25"/>
    <row r="814" s="39" customFormat="1" ht="12.75" x14ac:dyDescent="0.25"/>
    <row r="815" s="39" customFormat="1" ht="12.75" x14ac:dyDescent="0.25"/>
    <row r="816" s="39" customFormat="1" ht="12.75" x14ac:dyDescent="0.25"/>
    <row r="817" s="39" customFormat="1" ht="12.75" x14ac:dyDescent="0.25"/>
    <row r="818" s="39" customFormat="1" ht="12.75" x14ac:dyDescent="0.25"/>
    <row r="819" s="39" customFormat="1" ht="12.75" x14ac:dyDescent="0.25"/>
    <row r="820" s="39" customFormat="1" ht="12.75" x14ac:dyDescent="0.25"/>
    <row r="821" s="39" customFormat="1" ht="12.75" x14ac:dyDescent="0.25"/>
    <row r="822" s="39" customFormat="1" ht="12.75" x14ac:dyDescent="0.25"/>
    <row r="823" s="39" customFormat="1" ht="12.75" x14ac:dyDescent="0.25"/>
    <row r="824" s="39" customFormat="1" ht="12.75" x14ac:dyDescent="0.25"/>
    <row r="825" s="39" customFormat="1" ht="12.75" x14ac:dyDescent="0.25"/>
    <row r="826" s="39" customFormat="1" ht="12.75" x14ac:dyDescent="0.25"/>
    <row r="827" s="39" customFormat="1" ht="12.75" x14ac:dyDescent="0.25"/>
    <row r="828" s="39" customFormat="1" ht="12.75" x14ac:dyDescent="0.25"/>
    <row r="829" s="39" customFormat="1" ht="12.75" x14ac:dyDescent="0.25"/>
    <row r="830" s="39" customFormat="1" ht="12.75" x14ac:dyDescent="0.25"/>
    <row r="831" s="39" customFormat="1" ht="12.75" x14ac:dyDescent="0.25"/>
    <row r="832" s="39" customFormat="1" ht="12.75" x14ac:dyDescent="0.25"/>
    <row r="833" s="39" customFormat="1" ht="12.75" x14ac:dyDescent="0.25"/>
    <row r="834" s="39" customFormat="1" ht="12.75" x14ac:dyDescent="0.25"/>
    <row r="835" s="39" customFormat="1" ht="12.75" x14ac:dyDescent="0.25"/>
    <row r="836" s="39" customFormat="1" ht="12.75" x14ac:dyDescent="0.25"/>
    <row r="837" s="39" customFormat="1" ht="12.75" x14ac:dyDescent="0.25"/>
    <row r="838" s="39" customFormat="1" ht="12.75" x14ac:dyDescent="0.25"/>
    <row r="839" s="39" customFormat="1" ht="12.75" x14ac:dyDescent="0.25"/>
    <row r="840" s="39" customFormat="1" ht="12.75" x14ac:dyDescent="0.25"/>
    <row r="841" s="39" customFormat="1" ht="12.75" x14ac:dyDescent="0.25"/>
    <row r="842" s="39" customFormat="1" ht="12.75" x14ac:dyDescent="0.25"/>
    <row r="843" s="39" customFormat="1" ht="12.75" x14ac:dyDescent="0.25"/>
    <row r="844" s="39" customFormat="1" ht="12.75" x14ac:dyDescent="0.25"/>
    <row r="845" s="39" customFormat="1" ht="12.75" x14ac:dyDescent="0.25"/>
    <row r="846" s="39" customFormat="1" ht="12.75" x14ac:dyDescent="0.25"/>
    <row r="847" s="39" customFormat="1" ht="12.75" x14ac:dyDescent="0.25"/>
    <row r="848" s="39" customFormat="1" ht="12.75" x14ac:dyDescent="0.25"/>
    <row r="849" s="39" customFormat="1" ht="12.75" x14ac:dyDescent="0.25"/>
    <row r="850" s="39" customFormat="1" ht="12.75" x14ac:dyDescent="0.25"/>
    <row r="851" s="39" customFormat="1" ht="12.75" x14ac:dyDescent="0.25"/>
    <row r="852" s="39" customFormat="1" ht="12.75" x14ac:dyDescent="0.25"/>
    <row r="853" s="39" customFormat="1" ht="12.75" x14ac:dyDescent="0.25"/>
    <row r="854" s="39" customFormat="1" ht="12.75" x14ac:dyDescent="0.25"/>
    <row r="855" s="39" customFormat="1" ht="12.75" x14ac:dyDescent="0.25"/>
    <row r="856" s="39" customFormat="1" ht="12.75" x14ac:dyDescent="0.25"/>
    <row r="857" s="39" customFormat="1" ht="12.75" x14ac:dyDescent="0.25"/>
    <row r="858" s="39" customFormat="1" ht="12.75" x14ac:dyDescent="0.25"/>
    <row r="859" s="39" customFormat="1" ht="12.75" x14ac:dyDescent="0.25"/>
    <row r="860" s="39" customFormat="1" ht="12.75" x14ac:dyDescent="0.25"/>
    <row r="861" s="39" customFormat="1" ht="12.75" x14ac:dyDescent="0.25"/>
    <row r="862" s="39" customFormat="1" ht="12.75" x14ac:dyDescent="0.25"/>
    <row r="863" s="39" customFormat="1" ht="12.75" x14ac:dyDescent="0.25"/>
    <row r="864" s="39" customFormat="1" ht="12.75" x14ac:dyDescent="0.25"/>
    <row r="865" s="39" customFormat="1" ht="12.75" x14ac:dyDescent="0.25"/>
    <row r="866" s="39" customFormat="1" ht="12.75" x14ac:dyDescent="0.25"/>
    <row r="867" s="39" customFormat="1" ht="12.75" x14ac:dyDescent="0.25"/>
    <row r="868" s="39" customFormat="1" ht="12.75" x14ac:dyDescent="0.25"/>
    <row r="869" s="39" customFormat="1" ht="12.75" x14ac:dyDescent="0.25"/>
    <row r="870" s="39" customFormat="1" ht="12.75" x14ac:dyDescent="0.25"/>
    <row r="871" s="39" customFormat="1" ht="12.75" x14ac:dyDescent="0.25"/>
    <row r="872" s="39" customFormat="1" ht="12.75" x14ac:dyDescent="0.25"/>
    <row r="873" s="39" customFormat="1" ht="12.75" x14ac:dyDescent="0.25"/>
    <row r="874" s="39" customFormat="1" ht="12.75" x14ac:dyDescent="0.25"/>
    <row r="875" s="39" customFormat="1" ht="12.75" x14ac:dyDescent="0.25"/>
    <row r="876" s="39" customFormat="1" ht="12.75" x14ac:dyDescent="0.25"/>
    <row r="877" s="39" customFormat="1" ht="12.75" x14ac:dyDescent="0.25"/>
    <row r="878" s="39" customFormat="1" ht="12.75" x14ac:dyDescent="0.25"/>
    <row r="879" s="39" customFormat="1" ht="12.75" x14ac:dyDescent="0.25"/>
    <row r="880" s="39" customFormat="1" ht="12.75" x14ac:dyDescent="0.25"/>
    <row r="881" s="39" customFormat="1" ht="12.75" x14ac:dyDescent="0.25"/>
    <row r="882" s="39" customFormat="1" ht="12.75" x14ac:dyDescent="0.25"/>
    <row r="883" s="39" customFormat="1" ht="12.75" x14ac:dyDescent="0.25"/>
    <row r="884" s="39" customFormat="1" ht="12.75" x14ac:dyDescent="0.25"/>
    <row r="885" s="39" customFormat="1" ht="12.75" x14ac:dyDescent="0.25"/>
    <row r="886" s="39" customFormat="1" ht="12.75" x14ac:dyDescent="0.25"/>
    <row r="887" s="39" customFormat="1" ht="12.75" x14ac:dyDescent="0.25"/>
    <row r="888" s="39" customFormat="1" ht="12.75" x14ac:dyDescent="0.25"/>
    <row r="889" s="39" customFormat="1" ht="12.75" x14ac:dyDescent="0.25"/>
    <row r="890" s="39" customFormat="1" ht="12.75" x14ac:dyDescent="0.25"/>
    <row r="891" s="39" customFormat="1" ht="12.75" x14ac:dyDescent="0.25"/>
    <row r="892" s="39" customFormat="1" ht="12.75" x14ac:dyDescent="0.25"/>
    <row r="893" s="39" customFormat="1" ht="12.75" x14ac:dyDescent="0.25"/>
    <row r="894" s="39" customFormat="1" ht="12.75" x14ac:dyDescent="0.25"/>
    <row r="895" s="39" customFormat="1" ht="12.75" x14ac:dyDescent="0.25"/>
    <row r="896" s="39" customFormat="1" ht="12.75" x14ac:dyDescent="0.25"/>
    <row r="897" s="39" customFormat="1" ht="12.75" x14ac:dyDescent="0.25"/>
    <row r="898" s="39" customFormat="1" ht="12.75" x14ac:dyDescent="0.25"/>
    <row r="899" s="39" customFormat="1" ht="12.75" x14ac:dyDescent="0.25"/>
    <row r="900" s="39" customFormat="1" ht="12.75" x14ac:dyDescent="0.25"/>
    <row r="901" s="39" customFormat="1" ht="12.75" x14ac:dyDescent="0.25"/>
    <row r="902" s="39" customFormat="1" ht="12.75" x14ac:dyDescent="0.25"/>
    <row r="903" s="39" customFormat="1" ht="12.75" x14ac:dyDescent="0.25"/>
    <row r="904" s="39" customFormat="1" ht="12.75" x14ac:dyDescent="0.25"/>
    <row r="905" s="39" customFormat="1" ht="12.75" x14ac:dyDescent="0.25"/>
    <row r="906" s="39" customFormat="1" ht="12.75" x14ac:dyDescent="0.25"/>
    <row r="907" s="39" customFormat="1" ht="12.75" x14ac:dyDescent="0.25"/>
    <row r="908" s="39" customFormat="1" ht="12.75" x14ac:dyDescent="0.25"/>
    <row r="909" s="39" customFormat="1" ht="12.75" x14ac:dyDescent="0.25"/>
    <row r="910" s="39" customFormat="1" ht="12.75" x14ac:dyDescent="0.25"/>
    <row r="911" s="39" customFormat="1" ht="12.75" x14ac:dyDescent="0.25"/>
    <row r="912" s="39" customFormat="1" ht="12.75" x14ac:dyDescent="0.25"/>
    <row r="913" s="39" customFormat="1" ht="12.75" x14ac:dyDescent="0.25"/>
    <row r="914" s="39" customFormat="1" ht="12.75" x14ac:dyDescent="0.25"/>
    <row r="915" s="39" customFormat="1" ht="12.75" x14ac:dyDescent="0.25"/>
    <row r="916" s="39" customFormat="1" ht="12.75" x14ac:dyDescent="0.25"/>
    <row r="917" s="39" customFormat="1" ht="12.75" x14ac:dyDescent="0.25"/>
    <row r="918" s="39" customFormat="1" ht="12.75" x14ac:dyDescent="0.25"/>
    <row r="919" s="39" customFormat="1" ht="12.75" x14ac:dyDescent="0.25"/>
    <row r="920" s="39" customFormat="1" ht="12.75" x14ac:dyDescent="0.25"/>
    <row r="921" s="39" customFormat="1" ht="12.75" x14ac:dyDescent="0.25"/>
    <row r="922" s="39" customFormat="1" ht="12.75" x14ac:dyDescent="0.25"/>
    <row r="923" s="39" customFormat="1" ht="12.75" x14ac:dyDescent="0.25"/>
    <row r="924" s="39" customFormat="1" ht="12.75" x14ac:dyDescent="0.25"/>
    <row r="925" s="39" customFormat="1" ht="12.75" x14ac:dyDescent="0.25"/>
    <row r="926" s="39" customFormat="1" ht="12.75" x14ac:dyDescent="0.25"/>
    <row r="927" s="39" customFormat="1" ht="12.75" x14ac:dyDescent="0.25"/>
    <row r="928" s="39" customFormat="1" ht="12.75" x14ac:dyDescent="0.25"/>
    <row r="929" s="39" customFormat="1" ht="12.75" x14ac:dyDescent="0.25"/>
    <row r="930" s="39" customFormat="1" ht="12.75" x14ac:dyDescent="0.25"/>
    <row r="931" s="39" customFormat="1" ht="12.75" x14ac:dyDescent="0.25"/>
    <row r="932" s="39" customFormat="1" ht="12.75" x14ac:dyDescent="0.25"/>
    <row r="933" s="39" customFormat="1" ht="12.75" x14ac:dyDescent="0.25"/>
    <row r="934" s="39" customFormat="1" ht="12.75" x14ac:dyDescent="0.25"/>
    <row r="935" s="39" customFormat="1" ht="12.75" x14ac:dyDescent="0.25"/>
    <row r="936" s="39" customFormat="1" ht="12.75" x14ac:dyDescent="0.25"/>
    <row r="937" s="39" customFormat="1" ht="12.75" x14ac:dyDescent="0.25"/>
    <row r="938" s="39" customFormat="1" ht="12.75" x14ac:dyDescent="0.25"/>
    <row r="939" s="39" customFormat="1" ht="12.75" x14ac:dyDescent="0.25"/>
    <row r="940" s="39" customFormat="1" ht="12.75" x14ac:dyDescent="0.25"/>
    <row r="941" s="39" customFormat="1" ht="12.75" x14ac:dyDescent="0.25"/>
    <row r="942" s="39" customFormat="1" ht="12.75" x14ac:dyDescent="0.25"/>
    <row r="943" s="39" customFormat="1" ht="12.75" x14ac:dyDescent="0.25"/>
    <row r="944" s="39" customFormat="1" ht="12.75" x14ac:dyDescent="0.25"/>
    <row r="945" s="39" customFormat="1" ht="12.75" x14ac:dyDescent="0.25"/>
    <row r="946" s="39" customFormat="1" ht="12.75" x14ac:dyDescent="0.25"/>
    <row r="947" s="39" customFormat="1" ht="12.75" x14ac:dyDescent="0.25"/>
    <row r="948" s="39" customFormat="1" ht="12.75" x14ac:dyDescent="0.25"/>
    <row r="949" s="39" customFormat="1" ht="12.75" x14ac:dyDescent="0.25"/>
    <row r="950" s="39" customFormat="1" ht="12.75" x14ac:dyDescent="0.25"/>
    <row r="951" s="39" customFormat="1" ht="12.75" x14ac:dyDescent="0.25"/>
    <row r="952" s="39" customFormat="1" ht="12.75" x14ac:dyDescent="0.25"/>
    <row r="953" s="39" customFormat="1" ht="12.75" x14ac:dyDescent="0.25"/>
    <row r="954" s="39" customFormat="1" ht="12.75" x14ac:dyDescent="0.25"/>
    <row r="955" s="39" customFormat="1" ht="12.75" x14ac:dyDescent="0.25"/>
    <row r="956" s="39" customFormat="1" ht="12.75" x14ac:dyDescent="0.25"/>
    <row r="957" s="39" customFormat="1" ht="12.75" x14ac:dyDescent="0.25"/>
    <row r="958" s="39" customFormat="1" ht="12.75" x14ac:dyDescent="0.25"/>
    <row r="959" s="39" customFormat="1" ht="12.75" x14ac:dyDescent="0.25"/>
    <row r="960" s="39" customFormat="1" ht="12.75" x14ac:dyDescent="0.25"/>
    <row r="961" s="39" customFormat="1" ht="12.75" x14ac:dyDescent="0.25"/>
    <row r="962" s="39" customFormat="1" ht="12.75" x14ac:dyDescent="0.25"/>
    <row r="963" s="39" customFormat="1" ht="12.75" x14ac:dyDescent="0.25"/>
    <row r="964" s="39" customFormat="1" ht="12.75" x14ac:dyDescent="0.25"/>
    <row r="965" s="39" customFormat="1" ht="12.75" x14ac:dyDescent="0.25"/>
    <row r="966" s="39" customFormat="1" ht="12.75" x14ac:dyDescent="0.25"/>
    <row r="967" s="39" customFormat="1" ht="12.75" x14ac:dyDescent="0.25"/>
    <row r="968" s="39" customFormat="1" ht="12.75" x14ac:dyDescent="0.25"/>
    <row r="969" s="39" customFormat="1" ht="12.75" x14ac:dyDescent="0.25"/>
    <row r="970" s="39" customFormat="1" ht="12.75" x14ac:dyDescent="0.25"/>
    <row r="971" s="39" customFormat="1" ht="12.75" x14ac:dyDescent="0.25"/>
    <row r="972" s="39" customFormat="1" ht="12.75" x14ac:dyDescent="0.25"/>
    <row r="973" s="39" customFormat="1" ht="12.75" x14ac:dyDescent="0.25"/>
    <row r="974" s="39" customFormat="1" ht="12.75" x14ac:dyDescent="0.25"/>
    <row r="975" s="39" customFormat="1" ht="12.75" x14ac:dyDescent="0.25"/>
    <row r="976" s="39" customFormat="1" ht="12.75" x14ac:dyDescent="0.25"/>
    <row r="977" s="39" customFormat="1" ht="12.75" x14ac:dyDescent="0.25"/>
    <row r="978" s="39" customFormat="1" ht="12.75" x14ac:dyDescent="0.25"/>
    <row r="979" s="39" customFormat="1" ht="12.75" x14ac:dyDescent="0.25"/>
    <row r="980" s="39" customFormat="1" ht="12.75" x14ac:dyDescent="0.25"/>
    <row r="981" s="39" customFormat="1" ht="12.75" x14ac:dyDescent="0.25"/>
    <row r="982" s="39" customFormat="1" ht="12.75" x14ac:dyDescent="0.25"/>
    <row r="983" s="39" customFormat="1" ht="12.75" x14ac:dyDescent="0.25"/>
    <row r="984" s="39" customFormat="1" ht="12.75" x14ac:dyDescent="0.25"/>
    <row r="985" s="39" customFormat="1" ht="12.75" x14ac:dyDescent="0.25"/>
    <row r="986" s="39" customFormat="1" ht="12.75" x14ac:dyDescent="0.25"/>
    <row r="987" s="39" customFormat="1" ht="12.75" x14ac:dyDescent="0.25"/>
    <row r="988" s="39" customFormat="1" ht="12.75" x14ac:dyDescent="0.25"/>
    <row r="989" s="39" customFormat="1" ht="12.75" x14ac:dyDescent="0.25"/>
    <row r="990" s="39" customFormat="1" ht="12.75" x14ac:dyDescent="0.25"/>
    <row r="991" s="39" customFormat="1" ht="12.75" x14ac:dyDescent="0.25"/>
    <row r="992" s="39" customFormat="1" ht="12.75" x14ac:dyDescent="0.25"/>
    <row r="993" s="39" customFormat="1" ht="12.75" x14ac:dyDescent="0.25"/>
    <row r="994" s="39" customFormat="1" ht="12.75" x14ac:dyDescent="0.25"/>
    <row r="995" s="39" customFormat="1" ht="12.75" x14ac:dyDescent="0.25"/>
    <row r="996" s="39" customFormat="1" ht="12.75" x14ac:dyDescent="0.25"/>
    <row r="997" s="39" customFormat="1" ht="12.75" x14ac:dyDescent="0.25"/>
    <row r="998" s="39" customFormat="1" ht="12.75" x14ac:dyDescent="0.25"/>
    <row r="999" s="39" customFormat="1" ht="12.75" x14ac:dyDescent="0.25"/>
    <row r="1000" s="39" customFormat="1" ht="12.75" x14ac:dyDescent="0.25"/>
    <row r="1001" s="39" customFormat="1" ht="12.75" x14ac:dyDescent="0.25"/>
    <row r="1002" s="39" customFormat="1" ht="12.75" x14ac:dyDescent="0.25"/>
    <row r="1003" s="39" customFormat="1" ht="12.75" x14ac:dyDescent="0.25"/>
    <row r="1004" s="39" customFormat="1" ht="12.75" x14ac:dyDescent="0.25"/>
    <row r="1005" s="39" customFormat="1" ht="12.75" x14ac:dyDescent="0.25"/>
    <row r="1006" s="39" customFormat="1" ht="12.75" x14ac:dyDescent="0.25"/>
    <row r="1007" s="39" customFormat="1" ht="12.75" x14ac:dyDescent="0.25"/>
    <row r="1008" s="39" customFormat="1" ht="12.75" x14ac:dyDescent="0.25"/>
    <row r="1009" s="39" customFormat="1" ht="12.75" x14ac:dyDescent="0.25"/>
    <row r="1010" s="39" customFormat="1" ht="12.75" x14ac:dyDescent="0.25"/>
    <row r="1011" s="39" customFormat="1" ht="12.75" x14ac:dyDescent="0.25"/>
    <row r="1012" s="39" customFormat="1" ht="12.75" x14ac:dyDescent="0.25"/>
    <row r="1013" s="39" customFormat="1" ht="12.75" x14ac:dyDescent="0.25"/>
    <row r="1014" s="39" customFormat="1" ht="12.75" x14ac:dyDescent="0.25"/>
    <row r="1015" s="39" customFormat="1" ht="12.75" x14ac:dyDescent="0.25"/>
    <row r="1016" s="39" customFormat="1" ht="12.75" x14ac:dyDescent="0.25"/>
    <row r="1017" s="39" customFormat="1" ht="12.75" x14ac:dyDescent="0.25"/>
    <row r="1018" s="39" customFormat="1" ht="12.75" x14ac:dyDescent="0.25"/>
    <row r="1019" s="39" customFormat="1" ht="12.75" x14ac:dyDescent="0.25"/>
    <row r="1020" s="39" customFormat="1" ht="12.75" x14ac:dyDescent="0.25"/>
    <row r="1021" s="39" customFormat="1" ht="12.75" x14ac:dyDescent="0.25"/>
    <row r="1022" s="39" customFormat="1" ht="12.75" x14ac:dyDescent="0.25"/>
    <row r="1023" s="39" customFormat="1" ht="12.75" x14ac:dyDescent="0.25"/>
    <row r="1024" s="39" customFormat="1" ht="12.75" x14ac:dyDescent="0.25"/>
    <row r="1025" s="39" customFormat="1" ht="12.75" x14ac:dyDescent="0.25"/>
    <row r="1026" s="39" customFormat="1" ht="12.75" x14ac:dyDescent="0.25"/>
    <row r="1027" s="39" customFormat="1" ht="12.75" x14ac:dyDescent="0.25"/>
    <row r="1028" s="39" customFormat="1" ht="12.75" x14ac:dyDescent="0.25"/>
    <row r="1029" s="39" customFormat="1" ht="12.75" x14ac:dyDescent="0.25"/>
    <row r="1030" s="39" customFormat="1" ht="12.75" x14ac:dyDescent="0.25"/>
    <row r="1031" s="39" customFormat="1" ht="12.75" x14ac:dyDescent="0.25"/>
    <row r="1032" s="39" customFormat="1" ht="12.75" x14ac:dyDescent="0.25"/>
    <row r="1033" s="39" customFormat="1" ht="12.75" x14ac:dyDescent="0.25"/>
    <row r="1034" s="39" customFormat="1" ht="12.75" x14ac:dyDescent="0.25"/>
    <row r="1035" s="39" customFormat="1" ht="12.75" x14ac:dyDescent="0.25"/>
    <row r="1036" s="39" customFormat="1" ht="12.75" x14ac:dyDescent="0.25"/>
    <row r="1037" s="39" customFormat="1" ht="12.75" x14ac:dyDescent="0.25"/>
    <row r="1038" s="39" customFormat="1" ht="12.75" x14ac:dyDescent="0.25"/>
    <row r="1039" s="39" customFormat="1" ht="12.75" x14ac:dyDescent="0.25"/>
    <row r="1040" s="39" customFormat="1" ht="12.75" x14ac:dyDescent="0.25"/>
    <row r="1041" s="39" customFormat="1" ht="12.75" x14ac:dyDescent="0.25"/>
    <row r="1042" s="39" customFormat="1" ht="12.75" x14ac:dyDescent="0.25"/>
    <row r="1043" s="39" customFormat="1" ht="12.75" x14ac:dyDescent="0.25"/>
    <row r="1044" s="39" customFormat="1" ht="12.75" x14ac:dyDescent="0.25"/>
    <row r="1045" s="39" customFormat="1" ht="12.75" x14ac:dyDescent="0.25"/>
    <row r="1046" s="39" customFormat="1" ht="12.75" x14ac:dyDescent="0.25"/>
    <row r="1047" s="39" customFormat="1" ht="12.75" x14ac:dyDescent="0.25"/>
    <row r="1048" s="39" customFormat="1" ht="12.75" x14ac:dyDescent="0.25"/>
    <row r="1049" s="39" customFormat="1" ht="12.75" x14ac:dyDescent="0.25"/>
    <row r="1050" s="39" customFormat="1" ht="12.75" x14ac:dyDescent="0.25"/>
    <row r="1051" s="39" customFormat="1" ht="12.75" x14ac:dyDescent="0.25"/>
    <row r="1052" s="39" customFormat="1" ht="12.75" x14ac:dyDescent="0.25"/>
    <row r="1053" s="39" customFormat="1" ht="12.75" x14ac:dyDescent="0.25"/>
    <row r="1054" s="39" customFormat="1" ht="12.75" x14ac:dyDescent="0.25"/>
    <row r="1055" s="39" customFormat="1" ht="12.75" x14ac:dyDescent="0.25"/>
    <row r="1056" s="39" customFormat="1" ht="12.75" x14ac:dyDescent="0.25"/>
    <row r="1057" s="39" customFormat="1" ht="12.75" x14ac:dyDescent="0.25"/>
    <row r="1058" s="39" customFormat="1" ht="12.75" x14ac:dyDescent="0.25"/>
    <row r="1059" s="39" customFormat="1" ht="12.75" x14ac:dyDescent="0.25"/>
    <row r="1060" s="39" customFormat="1" ht="12.75" x14ac:dyDescent="0.25"/>
    <row r="1061" s="39" customFormat="1" ht="12.75" x14ac:dyDescent="0.25"/>
    <row r="1062" s="39" customFormat="1" ht="12.75" x14ac:dyDescent="0.25"/>
    <row r="1063" s="39" customFormat="1" ht="12.75" x14ac:dyDescent="0.25"/>
    <row r="1064" s="39" customFormat="1" ht="12.75" x14ac:dyDescent="0.25"/>
    <row r="1065" s="39" customFormat="1" ht="12.75" x14ac:dyDescent="0.25"/>
    <row r="1066" s="39" customFormat="1" ht="12.75" x14ac:dyDescent="0.25"/>
    <row r="1067" s="39" customFormat="1" ht="12.75" x14ac:dyDescent="0.25"/>
    <row r="1068" s="39" customFormat="1" ht="12.75" x14ac:dyDescent="0.25"/>
    <row r="1069" s="39" customFormat="1" ht="12.75" x14ac:dyDescent="0.25"/>
    <row r="1070" s="39" customFormat="1" ht="12.75" x14ac:dyDescent="0.25"/>
    <row r="1071" s="39" customFormat="1" ht="12.75" x14ac:dyDescent="0.25"/>
    <row r="1072" s="39" customFormat="1" ht="12.75" x14ac:dyDescent="0.25"/>
    <row r="1073" s="39" customFormat="1" ht="12.75" x14ac:dyDescent="0.25"/>
    <row r="1074" s="39" customFormat="1" ht="12.75" x14ac:dyDescent="0.25"/>
    <row r="1075" s="39" customFormat="1" ht="12.75" x14ac:dyDescent="0.25"/>
    <row r="1076" s="39" customFormat="1" ht="12.75" x14ac:dyDescent="0.25"/>
    <row r="1077" s="39" customFormat="1" ht="12.75" x14ac:dyDescent="0.25"/>
    <row r="1078" s="39" customFormat="1" ht="12.75" x14ac:dyDescent="0.25"/>
    <row r="1079" s="39" customFormat="1" ht="12.75" x14ac:dyDescent="0.25"/>
    <row r="1080" s="39" customFormat="1" ht="12.75" x14ac:dyDescent="0.25"/>
    <row r="1081" s="39" customFormat="1" ht="12.75" x14ac:dyDescent="0.25"/>
    <row r="1082" s="39" customFormat="1" ht="12.75" x14ac:dyDescent="0.25"/>
    <row r="1083" s="39" customFormat="1" ht="12.75" x14ac:dyDescent="0.25"/>
    <row r="1084" s="39" customFormat="1" ht="12.75" x14ac:dyDescent="0.25"/>
    <row r="1085" s="39" customFormat="1" ht="12.75" x14ac:dyDescent="0.25"/>
    <row r="1086" s="39" customFormat="1" ht="12.75" x14ac:dyDescent="0.25"/>
    <row r="1087" s="39" customFormat="1" ht="12.75" x14ac:dyDescent="0.25"/>
    <row r="1088" s="39" customFormat="1" ht="12.75" x14ac:dyDescent="0.25"/>
    <row r="1089" s="39" customFormat="1" ht="12.75" x14ac:dyDescent="0.25"/>
    <row r="1090" s="39" customFormat="1" ht="12.75" x14ac:dyDescent="0.25"/>
    <row r="1091" s="39" customFormat="1" ht="12.75" x14ac:dyDescent="0.25"/>
    <row r="1092" s="39" customFormat="1" ht="12.75" x14ac:dyDescent="0.25"/>
    <row r="1093" s="39" customFormat="1" ht="12.75" x14ac:dyDescent="0.25"/>
    <row r="1094" s="39" customFormat="1" ht="12.75" x14ac:dyDescent="0.25"/>
    <row r="1095" s="39" customFormat="1" ht="12.75" x14ac:dyDescent="0.25"/>
    <row r="1096" s="39" customFormat="1" ht="12.75" x14ac:dyDescent="0.25"/>
    <row r="1097" s="39" customFormat="1" ht="12.75" x14ac:dyDescent="0.25"/>
    <row r="1098" s="39" customFormat="1" ht="12.75" x14ac:dyDescent="0.25"/>
    <row r="1099" s="39" customFormat="1" ht="12.75" x14ac:dyDescent="0.25"/>
  </sheetData>
  <sheetProtection sheet="1" objects="1" scenarios="1" formatCells="0" formatColumns="0" formatRows="0"/>
  <autoFilter ref="A4:I10" xr:uid="{BD3DF4D0-2121-4DBD-8B3F-CA04C3C4B3FA}"/>
  <mergeCells count="4">
    <mergeCell ref="B2:C3"/>
    <mergeCell ref="D2:E2"/>
    <mergeCell ref="F2:G2"/>
    <mergeCell ref="H2:I2"/>
  </mergeCells>
  <conditionalFormatting sqref="D5:I10">
    <cfRule type="cellIs" dxfId="4" priority="10" operator="between">
      <formula>10</formula>
      <formula>9999.999</formula>
    </cfRule>
    <cfRule type="cellIs" dxfId="3" priority="11" operator="greaterThanOrEqual">
      <formula>10000</formula>
    </cfRule>
    <cfRule type="cellIs" dxfId="2" priority="12" operator="lessThan">
      <formula>0.1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6908979C-BFF1-EF49-8479-EFEDB7DE3EE8}">
            <xm:f>'Exposure Inputs'!$F$67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E5:E9 G5:G9 I5:I9</xm:sqref>
        </x14:conditionalFormatting>
        <x14:conditionalFormatting xmlns:xm="http://schemas.microsoft.com/office/excel/2006/main">
          <x14:cfRule type="cellIs" priority="3" operator="lessThan" id="{CE9922AE-327C-43B6-A371-881D5FB59A6C}">
            <xm:f>'Exposure Inputs'!$F$64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m:sqref>E5:E10 G5:G10 I5:I10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46C0E-06C7-49B9-A283-13AD361CCC6B}">
  <sheetPr codeName="Sheet21"/>
  <dimension ref="A3:M73"/>
  <sheetViews>
    <sheetView workbookViewId="0"/>
  </sheetViews>
  <sheetFormatPr defaultColWidth="8.42578125" defaultRowHeight="15" x14ac:dyDescent="0.25"/>
  <cols>
    <col min="1" max="1" width="15.42578125" customWidth="1"/>
    <col min="2" max="2" width="25.42578125" customWidth="1"/>
    <col min="3" max="5" width="10.42578125" customWidth="1"/>
    <col min="6" max="6" width="31" customWidth="1"/>
    <col min="7" max="8" width="10.42578125" customWidth="1"/>
    <col min="9" max="12" width="24.42578125" customWidth="1"/>
    <col min="13" max="13" width="24" customWidth="1"/>
  </cols>
  <sheetData>
    <row r="3" spans="1:13" ht="14.25" customHeight="1" x14ac:dyDescent="0.25"/>
    <row r="4" spans="1:13" x14ac:dyDescent="0.25">
      <c r="A4" s="5" t="s">
        <v>257</v>
      </c>
      <c r="B4" s="11"/>
    </row>
    <row r="5" spans="1:13" ht="45.75" thickBot="1" x14ac:dyDescent="0.3">
      <c r="A5" s="87" t="s">
        <v>258</v>
      </c>
      <c r="B5" s="87" t="s">
        <v>259</v>
      </c>
      <c r="C5" s="92" t="s">
        <v>260</v>
      </c>
      <c r="D5" s="92" t="s">
        <v>261</v>
      </c>
      <c r="E5" s="92" t="s">
        <v>262</v>
      </c>
      <c r="F5" s="92" t="s">
        <v>263</v>
      </c>
      <c r="G5" s="92" t="s">
        <v>264</v>
      </c>
      <c r="H5" s="92" t="s">
        <v>265</v>
      </c>
      <c r="I5" s="105" t="s">
        <v>266</v>
      </c>
      <c r="J5" s="105"/>
      <c r="K5" s="105"/>
      <c r="L5" s="105"/>
      <c r="M5" s="92" t="s">
        <v>267</v>
      </c>
    </row>
    <row r="6" spans="1:13" ht="30.75" thickTop="1" x14ac:dyDescent="0.25">
      <c r="A6" s="12" t="s">
        <v>268</v>
      </c>
      <c r="B6" s="84" t="s">
        <v>269</v>
      </c>
      <c r="C6" s="13">
        <f>3.353*((50-21)/(78-21))+3.081*((78-50)/(78-21))</f>
        <v>3.2193859649122807</v>
      </c>
      <c r="D6" s="12">
        <v>1.1060000000000001</v>
      </c>
      <c r="E6" s="12">
        <v>2.214</v>
      </c>
      <c r="F6" s="12">
        <v>1.7609999999999999</v>
      </c>
      <c r="G6" s="12">
        <v>1.258</v>
      </c>
      <c r="H6" s="13">
        <f>(658*(1/5)+901*(1/5)+836*(3/5))/1000</f>
        <v>0.81340000000000001</v>
      </c>
      <c r="I6" s="108" t="s">
        <v>270</v>
      </c>
      <c r="J6" s="108"/>
      <c r="K6" s="108"/>
      <c r="L6" s="108"/>
      <c r="M6" s="54" t="s">
        <v>271</v>
      </c>
    </row>
    <row r="7" spans="1:13" ht="30" x14ac:dyDescent="0.25">
      <c r="A7" s="86" t="s">
        <v>272</v>
      </c>
      <c r="B7" s="85" t="s">
        <v>273</v>
      </c>
      <c r="C7" s="14">
        <f>0.858*((50-21)/(78-21))+0.902*((78-50)/(78-21))</f>
        <v>0.87961403508771929</v>
      </c>
      <c r="D7" s="14">
        <v>0.22</v>
      </c>
      <c r="E7" s="86">
        <v>0.436</v>
      </c>
      <c r="F7" s="86">
        <v>0.315</v>
      </c>
      <c r="G7" s="86">
        <v>0.29399999999999998</v>
      </c>
      <c r="H7" s="14">
        <f>(146*(1/5)+205*(1/5)+208*(3/5))/1000</f>
        <v>0.19500000000000001</v>
      </c>
      <c r="I7" s="109" t="s">
        <v>274</v>
      </c>
      <c r="J7" s="109"/>
      <c r="K7" s="109"/>
      <c r="L7" s="109"/>
      <c r="M7" s="54" t="s">
        <v>271</v>
      </c>
    </row>
    <row r="8" spans="1:13" x14ac:dyDescent="0.25">
      <c r="A8" s="86" t="s">
        <v>275</v>
      </c>
      <c r="B8" s="85" t="s">
        <v>276</v>
      </c>
      <c r="C8" s="86">
        <v>80</v>
      </c>
      <c r="D8" s="15">
        <f>4.8*(1/12)+5.9*(2/12)+7.4*(3/12)+9.2*(6/12)</f>
        <v>7.833333333333333</v>
      </c>
      <c r="E8" s="86">
        <v>71.599999999999994</v>
      </c>
      <c r="F8" s="86">
        <v>56.8</v>
      </c>
      <c r="G8" s="86">
        <v>31.8</v>
      </c>
      <c r="H8" s="86">
        <f>11.4*(1/5)+13.8*(1/5)+18.6*(3/5)</f>
        <v>16.200000000000003</v>
      </c>
      <c r="I8" s="109" t="s">
        <v>277</v>
      </c>
      <c r="J8" s="109"/>
      <c r="K8" s="109"/>
      <c r="L8" s="109"/>
      <c r="M8" s="54" t="s">
        <v>670</v>
      </c>
    </row>
    <row r="9" spans="1:13" ht="45" x14ac:dyDescent="0.25">
      <c r="A9" s="86" t="s">
        <v>279</v>
      </c>
      <c r="B9" s="85" t="s">
        <v>280</v>
      </c>
      <c r="C9" s="16">
        <f>C6/C8</f>
        <v>4.024232456140351E-2</v>
      </c>
      <c r="D9" s="14">
        <f>D6/D8</f>
        <v>0.14119148936170214</v>
      </c>
      <c r="E9" s="14">
        <f>E6/E8</f>
        <v>3.092178770949721E-2</v>
      </c>
      <c r="F9" s="14">
        <f t="shared" ref="F9:G9" si="0">F6/F8</f>
        <v>3.1003521126760563E-2</v>
      </c>
      <c r="G9" s="14">
        <f t="shared" si="0"/>
        <v>3.9559748427672958E-2</v>
      </c>
      <c r="H9" s="14">
        <f>H6/H8</f>
        <v>5.0209876543209866E-2</v>
      </c>
      <c r="I9" s="109" t="s">
        <v>281</v>
      </c>
      <c r="J9" s="109"/>
      <c r="K9" s="109"/>
      <c r="L9" s="109"/>
      <c r="M9" s="54"/>
    </row>
    <row r="10" spans="1:13" ht="45" x14ac:dyDescent="0.25">
      <c r="A10" s="86" t="s">
        <v>282</v>
      </c>
      <c r="B10" s="85" t="s">
        <v>280</v>
      </c>
      <c r="C10" s="14">
        <f t="shared" ref="C10:H10" si="1">C7/C8</f>
        <v>1.0995175438596492E-2</v>
      </c>
      <c r="D10" s="14">
        <f>D7/D8</f>
        <v>2.8085106382978724E-2</v>
      </c>
      <c r="E10" s="14">
        <f>E7/E8</f>
        <v>6.0893854748603361E-3</v>
      </c>
      <c r="F10" s="14">
        <f t="shared" si="1"/>
        <v>5.5457746478873244E-3</v>
      </c>
      <c r="G10" s="14">
        <f t="shared" si="1"/>
        <v>9.2452830188679246E-3</v>
      </c>
      <c r="H10" s="14">
        <f t="shared" si="1"/>
        <v>1.2037037037037035E-2</v>
      </c>
      <c r="I10" s="109" t="s">
        <v>281</v>
      </c>
      <c r="J10" s="109"/>
      <c r="K10" s="109"/>
      <c r="L10" s="109"/>
      <c r="M10" s="54"/>
    </row>
    <row r="11" spans="1:13" ht="33" x14ac:dyDescent="0.25">
      <c r="A11" s="86" t="s">
        <v>283</v>
      </c>
      <c r="B11" s="85" t="s">
        <v>284</v>
      </c>
      <c r="C11" s="86">
        <v>1</v>
      </c>
      <c r="D11" s="86">
        <v>1</v>
      </c>
      <c r="E11" s="86">
        <v>1</v>
      </c>
      <c r="F11" s="86">
        <v>1</v>
      </c>
      <c r="G11" s="86">
        <v>1</v>
      </c>
      <c r="H11" s="86">
        <v>1</v>
      </c>
      <c r="I11" s="109" t="s">
        <v>285</v>
      </c>
      <c r="J11" s="109"/>
      <c r="K11" s="109"/>
      <c r="L11" s="109"/>
      <c r="M11" s="54" t="s">
        <v>286</v>
      </c>
    </row>
    <row r="12" spans="1:13" ht="51" x14ac:dyDescent="0.25">
      <c r="A12" s="86" t="s">
        <v>287</v>
      </c>
      <c r="B12" s="85" t="s">
        <v>288</v>
      </c>
      <c r="C12" s="89">
        <v>57</v>
      </c>
      <c r="D12" s="86">
        <v>57</v>
      </c>
      <c r="E12" s="86">
        <f>21-16</f>
        <v>5</v>
      </c>
      <c r="F12" s="86">
        <f>16-11</f>
        <v>5</v>
      </c>
      <c r="G12" s="86">
        <f>11-6</f>
        <v>5</v>
      </c>
      <c r="H12" s="86">
        <f>6-1</f>
        <v>5</v>
      </c>
      <c r="I12" s="109" t="s">
        <v>289</v>
      </c>
      <c r="J12" s="109"/>
      <c r="K12" s="109"/>
      <c r="L12" s="109"/>
      <c r="M12" s="54" t="s">
        <v>670</v>
      </c>
    </row>
    <row r="13" spans="1:13" ht="30" x14ac:dyDescent="0.25">
      <c r="A13" s="86" t="s">
        <v>283</v>
      </c>
      <c r="B13" s="85" t="s">
        <v>290</v>
      </c>
      <c r="C13" s="86">
        <f t="shared" ref="C13:H13" si="2">C12</f>
        <v>57</v>
      </c>
      <c r="D13" s="86">
        <f t="shared" si="2"/>
        <v>57</v>
      </c>
      <c r="E13" s="86">
        <f t="shared" si="2"/>
        <v>5</v>
      </c>
      <c r="F13" s="86">
        <f t="shared" si="2"/>
        <v>5</v>
      </c>
      <c r="G13" s="86">
        <f t="shared" si="2"/>
        <v>5</v>
      </c>
      <c r="H13" s="86">
        <f t="shared" si="2"/>
        <v>5</v>
      </c>
      <c r="I13" s="109" t="s">
        <v>289</v>
      </c>
      <c r="J13" s="109"/>
      <c r="K13" s="109"/>
      <c r="L13" s="109"/>
      <c r="M13" s="54" t="s">
        <v>670</v>
      </c>
    </row>
    <row r="14" spans="1:13" ht="33" x14ac:dyDescent="0.25">
      <c r="A14" s="86" t="s">
        <v>283</v>
      </c>
      <c r="B14" s="85" t="s">
        <v>291</v>
      </c>
      <c r="C14" s="110">
        <v>78</v>
      </c>
      <c r="D14" s="110"/>
      <c r="E14" s="110"/>
      <c r="F14" s="110"/>
      <c r="G14" s="110"/>
      <c r="H14" s="110"/>
      <c r="I14" s="114" t="s">
        <v>292</v>
      </c>
      <c r="J14" s="114"/>
      <c r="K14" s="114"/>
      <c r="L14" s="114"/>
      <c r="M14" s="54" t="s">
        <v>670</v>
      </c>
    </row>
    <row r="15" spans="1:13" x14ac:dyDescent="0.25">
      <c r="A15" s="86" t="s">
        <v>293</v>
      </c>
      <c r="B15" s="85" t="s">
        <v>294</v>
      </c>
      <c r="C15" s="110">
        <v>1E-3</v>
      </c>
      <c r="D15" s="110"/>
      <c r="E15" s="110"/>
      <c r="F15" s="110"/>
      <c r="G15" s="110"/>
      <c r="H15" s="110"/>
      <c r="I15" s="111"/>
      <c r="J15" s="111"/>
      <c r="K15" s="111"/>
      <c r="L15" s="111"/>
      <c r="M15" s="86"/>
    </row>
    <row r="16" spans="1:13" ht="30" x14ac:dyDescent="0.25">
      <c r="A16" s="86" t="s">
        <v>295</v>
      </c>
      <c r="B16" s="85" t="s">
        <v>296</v>
      </c>
      <c r="C16" s="110">
        <v>365</v>
      </c>
      <c r="D16" s="110"/>
      <c r="E16" s="110"/>
      <c r="F16" s="110"/>
      <c r="G16" s="110"/>
      <c r="H16" s="110"/>
      <c r="I16" s="111"/>
      <c r="J16" s="111"/>
      <c r="K16" s="111"/>
      <c r="L16" s="111"/>
      <c r="M16" s="86"/>
    </row>
    <row r="17" spans="1:13" ht="30" x14ac:dyDescent="0.25">
      <c r="A17" s="86" t="s">
        <v>297</v>
      </c>
      <c r="B17" s="85" t="s">
        <v>298</v>
      </c>
      <c r="C17" s="117">
        <v>0</v>
      </c>
      <c r="D17" s="117"/>
      <c r="E17" s="117"/>
      <c r="F17" s="117"/>
      <c r="G17" s="117"/>
      <c r="H17" s="117"/>
      <c r="I17" s="118"/>
      <c r="J17" s="119"/>
      <c r="K17" s="119"/>
      <c r="L17" s="120"/>
      <c r="M17" s="86"/>
    </row>
    <row r="18" spans="1:13" ht="30" x14ac:dyDescent="0.25">
      <c r="A18" s="86" t="s">
        <v>297</v>
      </c>
      <c r="B18" s="85" t="s">
        <v>298</v>
      </c>
      <c r="C18" s="116">
        <v>0</v>
      </c>
      <c r="D18" s="116"/>
      <c r="E18" s="116"/>
      <c r="F18" s="116"/>
      <c r="G18" s="116"/>
      <c r="H18" s="116"/>
      <c r="I18" s="111"/>
      <c r="J18" s="111"/>
      <c r="K18" s="111"/>
      <c r="L18" s="111"/>
      <c r="M18" s="86"/>
    </row>
    <row r="19" spans="1:13" ht="33" customHeight="1" x14ac:dyDescent="0.25">
      <c r="A19" s="86" t="s">
        <v>297</v>
      </c>
      <c r="B19" s="85" t="s">
        <v>298</v>
      </c>
      <c r="C19" s="116">
        <v>0</v>
      </c>
      <c r="D19" s="116"/>
      <c r="E19" s="116"/>
      <c r="F19" s="116"/>
      <c r="G19" s="116"/>
      <c r="H19" s="116"/>
      <c r="I19" s="111"/>
      <c r="J19" s="111"/>
      <c r="K19" s="111"/>
      <c r="L19" s="111"/>
      <c r="M19" s="86"/>
    </row>
    <row r="20" spans="1:13" x14ac:dyDescent="0.25">
      <c r="A20" s="64" t="s">
        <v>299</v>
      </c>
      <c r="B20" s="65" t="s">
        <v>300</v>
      </c>
      <c r="C20">
        <v>350</v>
      </c>
    </row>
    <row r="21" spans="1:13" hidden="1" x14ac:dyDescent="0.25">
      <c r="A21" s="5" t="s">
        <v>301</v>
      </c>
      <c r="B21" s="11"/>
    </row>
    <row r="22" spans="1:13" ht="45.75" hidden="1" thickBot="1" x14ac:dyDescent="0.3">
      <c r="A22" s="87" t="s">
        <v>258</v>
      </c>
      <c r="B22" s="87" t="s">
        <v>259</v>
      </c>
      <c r="C22" s="92" t="s">
        <v>260</v>
      </c>
      <c r="D22" s="92" t="s">
        <v>261</v>
      </c>
      <c r="E22" s="92" t="s">
        <v>262</v>
      </c>
      <c r="F22" s="92" t="s">
        <v>263</v>
      </c>
      <c r="G22" s="92" t="s">
        <v>264</v>
      </c>
      <c r="H22" s="92" t="s">
        <v>265</v>
      </c>
      <c r="I22" s="105" t="s">
        <v>266</v>
      </c>
      <c r="J22" s="105"/>
      <c r="K22" s="105"/>
      <c r="L22" s="105"/>
      <c r="M22" s="92" t="s">
        <v>267</v>
      </c>
    </row>
    <row r="23" spans="1:13" ht="30.75" hidden="1" thickTop="1" x14ac:dyDescent="0.25">
      <c r="A23" s="12" t="s">
        <v>268</v>
      </c>
      <c r="B23" s="84" t="s">
        <v>302</v>
      </c>
      <c r="C23" s="13">
        <v>279</v>
      </c>
      <c r="D23" s="12">
        <v>23</v>
      </c>
      <c r="E23" s="12">
        <v>129</v>
      </c>
      <c r="F23" s="12">
        <v>102</v>
      </c>
      <c r="G23" s="12">
        <v>86</v>
      </c>
      <c r="H23" s="86">
        <f>(67*(2/5)+81*(3/5))</f>
        <v>75.400000000000006</v>
      </c>
      <c r="I23" s="108" t="s">
        <v>303</v>
      </c>
      <c r="J23" s="108"/>
      <c r="K23" s="108"/>
      <c r="L23" s="108"/>
      <c r="M23" s="54"/>
    </row>
    <row r="24" spans="1:13" ht="29.25" hidden="1" customHeight="1" x14ac:dyDescent="0.25">
      <c r="A24" s="86" t="s">
        <v>272</v>
      </c>
      <c r="B24" s="84" t="s">
        <v>304</v>
      </c>
      <c r="C24" s="44">
        <v>7.5</v>
      </c>
      <c r="D24" s="44">
        <v>0.73399999999999999</v>
      </c>
      <c r="E24" s="44">
        <v>6.7125000000000004</v>
      </c>
      <c r="F24" s="44">
        <v>5.3250000000000002</v>
      </c>
      <c r="G24" s="44">
        <v>2.9812500000000002</v>
      </c>
      <c r="H24" s="44">
        <v>1.51875</v>
      </c>
      <c r="I24" s="114" t="s">
        <v>305</v>
      </c>
      <c r="J24" s="114"/>
      <c r="K24" s="114"/>
      <c r="L24" s="114"/>
      <c r="M24" s="54"/>
    </row>
    <row r="25" spans="1:13" ht="14.45" hidden="1" customHeight="1" x14ac:dyDescent="0.25">
      <c r="A25" s="86" t="s">
        <v>275</v>
      </c>
      <c r="B25" s="85" t="s">
        <v>276</v>
      </c>
      <c r="C25" s="86">
        <v>80</v>
      </c>
      <c r="D25" s="15">
        <v>7.8</v>
      </c>
      <c r="E25" s="86">
        <v>71.599999999999994</v>
      </c>
      <c r="F25" s="86">
        <v>56.8</v>
      </c>
      <c r="G25" s="86">
        <v>31.8</v>
      </c>
      <c r="H25" s="86">
        <f>(12.6*(2/5)+18.6*(3/5))</f>
        <v>16.2</v>
      </c>
      <c r="I25" s="114" t="s">
        <v>306</v>
      </c>
      <c r="J25" s="114"/>
      <c r="K25" s="114"/>
      <c r="L25" s="114"/>
      <c r="M25" s="54" t="s">
        <v>278</v>
      </c>
    </row>
    <row r="26" spans="1:13" ht="30" hidden="1" x14ac:dyDescent="0.25">
      <c r="A26" s="86" t="s">
        <v>307</v>
      </c>
      <c r="B26" s="85" t="s">
        <v>308</v>
      </c>
      <c r="C26" s="16">
        <f>C23/C25</f>
        <v>3.4874999999999998</v>
      </c>
      <c r="D26" s="14">
        <f>D23/D25</f>
        <v>2.9487179487179489</v>
      </c>
      <c r="E26" s="14">
        <f>E23/E25</f>
        <v>1.8016759776536315</v>
      </c>
      <c r="F26" s="14">
        <f t="shared" ref="F26:G26" si="3">F23/F25</f>
        <v>1.795774647887324</v>
      </c>
      <c r="G26" s="14">
        <f t="shared" si="3"/>
        <v>2.7044025157232703</v>
      </c>
      <c r="H26" s="14">
        <f>H23/H25</f>
        <v>4.6543209876543212</v>
      </c>
      <c r="I26" s="109" t="s">
        <v>281</v>
      </c>
      <c r="J26" s="109"/>
      <c r="K26" s="109"/>
      <c r="L26" s="109"/>
      <c r="M26" s="54"/>
    </row>
    <row r="27" spans="1:13" ht="30" hidden="1" x14ac:dyDescent="0.25">
      <c r="A27" s="86" t="s">
        <v>309</v>
      </c>
      <c r="B27" s="85" t="s">
        <v>308</v>
      </c>
      <c r="C27" s="14">
        <f t="shared" ref="C27" si="4">C24/C25</f>
        <v>9.375E-2</v>
      </c>
      <c r="D27" s="14">
        <f>D24/D25</f>
        <v>9.410256410256411E-2</v>
      </c>
      <c r="E27" s="14">
        <f>E24/E25</f>
        <v>9.3750000000000014E-2</v>
      </c>
      <c r="F27" s="14">
        <f t="shared" ref="F27:H27" si="5">F24/F25</f>
        <v>9.3750000000000014E-2</v>
      </c>
      <c r="G27" s="14">
        <f t="shared" si="5"/>
        <v>9.375E-2</v>
      </c>
      <c r="H27" s="14">
        <f t="shared" si="5"/>
        <v>9.375E-2</v>
      </c>
      <c r="I27" s="109" t="s">
        <v>281</v>
      </c>
      <c r="J27" s="109"/>
      <c r="K27" s="109"/>
      <c r="L27" s="109"/>
      <c r="M27" s="54"/>
    </row>
    <row r="28" spans="1:13" ht="33" hidden="1" x14ac:dyDescent="0.25">
      <c r="A28" s="86" t="s">
        <v>283</v>
      </c>
      <c r="B28" s="85" t="s">
        <v>284</v>
      </c>
      <c r="C28" s="86">
        <v>1</v>
      </c>
      <c r="D28" s="86">
        <v>1</v>
      </c>
      <c r="E28" s="86">
        <v>1</v>
      </c>
      <c r="F28" s="86">
        <v>1</v>
      </c>
      <c r="G28" s="86">
        <v>1</v>
      </c>
      <c r="H28" s="86">
        <v>1</v>
      </c>
      <c r="I28" s="109" t="s">
        <v>285</v>
      </c>
      <c r="J28" s="109"/>
      <c r="K28" s="109"/>
      <c r="L28" s="109"/>
      <c r="M28" s="54" t="s">
        <v>286</v>
      </c>
    </row>
    <row r="29" spans="1:13" ht="51" hidden="1" x14ac:dyDescent="0.25">
      <c r="A29" s="86" t="s">
        <v>287</v>
      </c>
      <c r="B29" s="85" t="s">
        <v>288</v>
      </c>
      <c r="C29" s="89">
        <v>57</v>
      </c>
      <c r="D29" s="86">
        <f>1-0</f>
        <v>1</v>
      </c>
      <c r="E29" s="86">
        <f>21-16</f>
        <v>5</v>
      </c>
      <c r="F29" s="86">
        <f>16-11</f>
        <v>5</v>
      </c>
      <c r="G29" s="86">
        <f>11-6</f>
        <v>5</v>
      </c>
      <c r="H29" s="86">
        <f>6-1</f>
        <v>5</v>
      </c>
      <c r="I29" s="109" t="s">
        <v>289</v>
      </c>
      <c r="J29" s="109"/>
      <c r="K29" s="109"/>
      <c r="L29" s="109"/>
      <c r="M29" s="54" t="s">
        <v>278</v>
      </c>
    </row>
    <row r="30" spans="1:13" ht="30" hidden="1" x14ac:dyDescent="0.25">
      <c r="A30" s="86" t="s">
        <v>283</v>
      </c>
      <c r="B30" s="85" t="s">
        <v>290</v>
      </c>
      <c r="C30" s="44">
        <f t="shared" ref="C30:H30" si="6">C29</f>
        <v>57</v>
      </c>
      <c r="D30" s="86">
        <f t="shared" si="6"/>
        <v>1</v>
      </c>
      <c r="E30" s="86">
        <f t="shared" si="6"/>
        <v>5</v>
      </c>
      <c r="F30" s="86">
        <f t="shared" si="6"/>
        <v>5</v>
      </c>
      <c r="G30" s="86">
        <f t="shared" si="6"/>
        <v>5</v>
      </c>
      <c r="H30" s="86">
        <f t="shared" si="6"/>
        <v>5</v>
      </c>
      <c r="I30" s="109" t="s">
        <v>289</v>
      </c>
      <c r="J30" s="109"/>
      <c r="K30" s="109"/>
      <c r="L30" s="109"/>
      <c r="M30" s="54" t="s">
        <v>278</v>
      </c>
    </row>
    <row r="31" spans="1:13" ht="33" hidden="1" x14ac:dyDescent="0.25">
      <c r="A31" s="86" t="s">
        <v>283</v>
      </c>
      <c r="B31" s="85" t="s">
        <v>291</v>
      </c>
      <c r="C31" s="110">
        <v>78</v>
      </c>
      <c r="D31" s="110"/>
      <c r="E31" s="110"/>
      <c r="F31" s="110"/>
      <c r="G31" s="110"/>
      <c r="H31" s="110"/>
      <c r="I31" s="114" t="s">
        <v>292</v>
      </c>
      <c r="J31" s="114"/>
      <c r="K31" s="114"/>
      <c r="L31" s="114"/>
      <c r="M31" s="54" t="s">
        <v>278</v>
      </c>
    </row>
    <row r="32" spans="1:13" hidden="1" x14ac:dyDescent="0.25">
      <c r="A32" s="86" t="s">
        <v>216</v>
      </c>
      <c r="B32" s="85" t="s">
        <v>310</v>
      </c>
      <c r="C32" s="58"/>
      <c r="D32" s="86"/>
      <c r="E32" s="86"/>
      <c r="F32" s="86"/>
      <c r="G32" s="86"/>
      <c r="H32" s="86"/>
      <c r="I32" s="88"/>
      <c r="J32" s="53"/>
      <c r="K32" s="53"/>
      <c r="L32" s="91"/>
      <c r="M32" s="54"/>
    </row>
    <row r="33" spans="1:13" hidden="1" x14ac:dyDescent="0.25">
      <c r="A33" s="86" t="s">
        <v>293</v>
      </c>
      <c r="B33" s="85" t="s">
        <v>294</v>
      </c>
      <c r="C33" s="110">
        <v>1E-3</v>
      </c>
      <c r="D33" s="110"/>
      <c r="E33" s="110"/>
      <c r="F33" s="110"/>
      <c r="G33" s="110"/>
      <c r="H33" s="110"/>
      <c r="I33" s="111"/>
      <c r="J33" s="111"/>
      <c r="K33" s="111"/>
      <c r="L33" s="111"/>
      <c r="M33" s="86"/>
    </row>
    <row r="34" spans="1:13" ht="30" hidden="1" x14ac:dyDescent="0.25">
      <c r="A34" s="86" t="s">
        <v>295</v>
      </c>
      <c r="B34" s="85" t="s">
        <v>296</v>
      </c>
      <c r="C34" s="110">
        <v>365</v>
      </c>
      <c r="D34" s="110"/>
      <c r="E34" s="110"/>
      <c r="F34" s="110"/>
      <c r="G34" s="110"/>
      <c r="H34" s="110"/>
      <c r="I34" s="111"/>
      <c r="J34" s="111"/>
      <c r="K34" s="111"/>
      <c r="L34" s="111"/>
      <c r="M34" s="86"/>
    </row>
    <row r="36" spans="1:13" s="22" customFormat="1" x14ac:dyDescent="0.25">
      <c r="A36" s="19" t="s">
        <v>311</v>
      </c>
      <c r="B36" s="18"/>
      <c r="C36" s="19"/>
      <c r="D36" s="20"/>
      <c r="E36" s="20"/>
      <c r="F36" s="20"/>
      <c r="G36" s="21"/>
      <c r="H36" s="21"/>
      <c r="I36" s="21"/>
      <c r="L36" s="21"/>
      <c r="M36" s="21"/>
    </row>
    <row r="37" spans="1:13" s="22" customFormat="1" ht="30.75" thickBot="1" x14ac:dyDescent="0.3">
      <c r="A37" s="87" t="s">
        <v>258</v>
      </c>
      <c r="B37" s="92" t="s">
        <v>259</v>
      </c>
      <c r="C37" s="92" t="s">
        <v>260</v>
      </c>
      <c r="D37" s="92" t="s">
        <v>263</v>
      </c>
      <c r="E37" s="92" t="s">
        <v>264</v>
      </c>
      <c r="F37" s="112" t="s">
        <v>266</v>
      </c>
      <c r="G37" s="112"/>
      <c r="H37" s="112"/>
      <c r="I37" s="112"/>
      <c r="J37" s="23" t="s">
        <v>267</v>
      </c>
      <c r="K37" s="21"/>
    </row>
    <row r="38" spans="1:13" s="22" customFormat="1" ht="55.5" customHeight="1" thickTop="1" x14ac:dyDescent="0.25">
      <c r="A38" s="12" t="s">
        <v>312</v>
      </c>
      <c r="B38" s="84" t="s">
        <v>313</v>
      </c>
      <c r="C38" s="12">
        <f>92/1000</f>
        <v>9.1999999999999998E-2</v>
      </c>
      <c r="D38" s="12">
        <f>152/1000</f>
        <v>0.152</v>
      </c>
      <c r="E38" s="12">
        <v>9.6000000000000002E-2</v>
      </c>
      <c r="F38" s="113" t="s">
        <v>314</v>
      </c>
      <c r="G38" s="113"/>
      <c r="H38" s="113"/>
      <c r="I38" s="113"/>
      <c r="J38" s="54" t="s">
        <v>271</v>
      </c>
      <c r="K38" s="21"/>
    </row>
    <row r="39" spans="1:13" s="22" customFormat="1" ht="35.25" customHeight="1" x14ac:dyDescent="0.25">
      <c r="A39" s="86" t="s">
        <v>275</v>
      </c>
      <c r="B39" s="85" t="s">
        <v>276</v>
      </c>
      <c r="C39" s="86">
        <v>80</v>
      </c>
      <c r="D39" s="86">
        <v>56.8</v>
      </c>
      <c r="E39" s="86">
        <v>31.8</v>
      </c>
      <c r="F39" s="114" t="s">
        <v>315</v>
      </c>
      <c r="G39" s="114"/>
      <c r="H39" s="114"/>
      <c r="I39" s="114"/>
      <c r="J39" s="54" t="s">
        <v>670</v>
      </c>
      <c r="K39" s="21"/>
    </row>
    <row r="40" spans="1:13" s="22" customFormat="1" ht="35.25" customHeight="1" x14ac:dyDescent="0.25">
      <c r="A40" s="86" t="s">
        <v>316</v>
      </c>
      <c r="B40" s="85" t="s">
        <v>317</v>
      </c>
      <c r="C40" s="86">
        <v>3</v>
      </c>
      <c r="D40" s="86">
        <v>2</v>
      </c>
      <c r="E40" s="86">
        <v>1</v>
      </c>
      <c r="F40" s="114" t="s">
        <v>318</v>
      </c>
      <c r="G40" s="114"/>
      <c r="H40" s="114"/>
      <c r="I40" s="114"/>
      <c r="J40" s="54" t="s">
        <v>319</v>
      </c>
      <c r="K40" s="21"/>
    </row>
    <row r="41" spans="1:13" s="22" customFormat="1" ht="30.95" customHeight="1" x14ac:dyDescent="0.25">
      <c r="A41" s="86" t="s">
        <v>320</v>
      </c>
      <c r="B41" s="85" t="s">
        <v>321</v>
      </c>
      <c r="C41" s="86">
        <f t="shared" ref="C41:E41" si="7">C38*C40</f>
        <v>0.27600000000000002</v>
      </c>
      <c r="D41" s="86">
        <f t="shared" si="7"/>
        <v>0.30399999999999999</v>
      </c>
      <c r="E41" s="86">
        <f t="shared" si="7"/>
        <v>9.6000000000000002E-2</v>
      </c>
      <c r="F41" s="114" t="s">
        <v>322</v>
      </c>
      <c r="G41" s="114"/>
      <c r="H41" s="114"/>
      <c r="I41" s="114"/>
      <c r="J41" s="25"/>
      <c r="K41" s="22" t="s">
        <v>323</v>
      </c>
    </row>
    <row r="42" spans="1:13" s="22" customFormat="1" ht="32.450000000000003" customHeight="1" x14ac:dyDescent="0.25">
      <c r="A42" s="86" t="s">
        <v>324</v>
      </c>
      <c r="B42" s="85" t="s">
        <v>325</v>
      </c>
      <c r="C42" s="16">
        <f>C41/C39</f>
        <v>3.4500000000000004E-3</v>
      </c>
      <c r="D42" s="16">
        <f>D41/D39</f>
        <v>5.3521126760563385E-3</v>
      </c>
      <c r="E42" s="16">
        <f>E41/E39</f>
        <v>3.0188679245283017E-3</v>
      </c>
      <c r="F42" s="114" t="s">
        <v>281</v>
      </c>
      <c r="G42" s="114"/>
      <c r="H42" s="114"/>
      <c r="I42" s="114"/>
      <c r="J42" s="25"/>
    </row>
    <row r="43" spans="1:13" s="22" customFormat="1" ht="46.5" customHeight="1" x14ac:dyDescent="0.25">
      <c r="A43" s="86" t="s">
        <v>287</v>
      </c>
      <c r="B43" s="85" t="s">
        <v>326</v>
      </c>
      <c r="C43" s="89">
        <v>57</v>
      </c>
      <c r="D43" s="86">
        <v>5</v>
      </c>
      <c r="E43" s="86">
        <v>5</v>
      </c>
      <c r="F43" s="114" t="s">
        <v>289</v>
      </c>
      <c r="G43" s="114"/>
      <c r="H43" s="114"/>
      <c r="I43" s="114"/>
      <c r="J43" s="54" t="s">
        <v>670</v>
      </c>
      <c r="L43" s="21"/>
      <c r="M43" s="21"/>
    </row>
    <row r="44" spans="1:13" s="22" customFormat="1" ht="46.5" customHeight="1" x14ac:dyDescent="0.25">
      <c r="A44" s="86" t="s">
        <v>283</v>
      </c>
      <c r="B44" s="85" t="s">
        <v>290</v>
      </c>
      <c r="C44" s="86">
        <f>C43</f>
        <v>57</v>
      </c>
      <c r="D44" s="86">
        <f>D43</f>
        <v>5</v>
      </c>
      <c r="E44" s="86">
        <f>E43</f>
        <v>5</v>
      </c>
      <c r="F44" s="114" t="s">
        <v>289</v>
      </c>
      <c r="G44" s="114"/>
      <c r="H44" s="114"/>
      <c r="I44" s="114"/>
      <c r="J44" s="54" t="s">
        <v>670</v>
      </c>
      <c r="L44" s="21"/>
      <c r="M44" s="21"/>
    </row>
    <row r="45" spans="1:13" s="22" customFormat="1" x14ac:dyDescent="0.25">
      <c r="A45" s="86" t="s">
        <v>293</v>
      </c>
      <c r="B45" s="85" t="s">
        <v>294</v>
      </c>
      <c r="C45" s="115">
        <v>1E-3</v>
      </c>
      <c r="D45" s="115"/>
      <c r="E45" s="115"/>
      <c r="F45" s="111"/>
      <c r="G45" s="111"/>
      <c r="H45" s="111"/>
      <c r="I45" s="111"/>
      <c r="J45" s="86"/>
      <c r="M45" s="21"/>
    </row>
    <row r="46" spans="1:13" s="22" customFormat="1" ht="30" x14ac:dyDescent="0.25">
      <c r="A46" s="86" t="s">
        <v>295</v>
      </c>
      <c r="B46" s="85" t="s">
        <v>296</v>
      </c>
      <c r="C46" s="110">
        <v>365</v>
      </c>
      <c r="D46" s="110"/>
      <c r="E46" s="110"/>
      <c r="F46" s="111"/>
      <c r="G46" s="111"/>
      <c r="H46" s="111"/>
      <c r="I46" s="111"/>
      <c r="J46" s="86"/>
      <c r="M46" s="21"/>
    </row>
    <row r="47" spans="1:13" s="22" customFormat="1" x14ac:dyDescent="0.25">
      <c r="B47" s="18"/>
      <c r="E47" s="24"/>
      <c r="F47" s="24"/>
    </row>
    <row r="48" spans="1:13" s="19" customFormat="1" x14ac:dyDescent="0.25">
      <c r="A48" s="19" t="s">
        <v>327</v>
      </c>
      <c r="B48" s="20"/>
      <c r="D48" s="20"/>
      <c r="E48" s="20"/>
      <c r="F48" s="20"/>
    </row>
    <row r="49" spans="1:11" s="22" customFormat="1" ht="30.75" thickBot="1" x14ac:dyDescent="0.3">
      <c r="A49" s="87" t="s">
        <v>258</v>
      </c>
      <c r="B49" s="92" t="s">
        <v>259</v>
      </c>
      <c r="C49" s="92" t="s">
        <v>260</v>
      </c>
      <c r="D49" s="92" t="s">
        <v>263</v>
      </c>
      <c r="E49" s="92" t="s">
        <v>264</v>
      </c>
      <c r="F49" s="112" t="s">
        <v>266</v>
      </c>
      <c r="G49" s="112"/>
      <c r="H49" s="112"/>
      <c r="I49" s="112"/>
      <c r="J49" s="92" t="s">
        <v>267</v>
      </c>
      <c r="K49" s="19"/>
    </row>
    <row r="50" spans="1:11" s="22" customFormat="1" ht="32.450000000000003" customHeight="1" thickTop="1" x14ac:dyDescent="0.25">
      <c r="A50" s="12" t="s">
        <v>275</v>
      </c>
      <c r="B50" s="84" t="s">
        <v>276</v>
      </c>
      <c r="C50" s="12">
        <v>80</v>
      </c>
      <c r="D50" s="12">
        <v>56.8</v>
      </c>
      <c r="E50" s="12">
        <v>31.8</v>
      </c>
      <c r="F50" s="108" t="s">
        <v>315</v>
      </c>
      <c r="G50" s="108"/>
      <c r="H50" s="108"/>
      <c r="I50" s="108"/>
      <c r="J50" s="54" t="s">
        <v>670</v>
      </c>
    </row>
    <row r="51" spans="1:11" s="22" customFormat="1" ht="32.450000000000003" customHeight="1" x14ac:dyDescent="0.25">
      <c r="A51" s="86" t="s">
        <v>328</v>
      </c>
      <c r="B51" s="85" t="s">
        <v>329</v>
      </c>
      <c r="C51" s="86">
        <v>19500</v>
      </c>
      <c r="D51" s="86">
        <v>15900</v>
      </c>
      <c r="E51" s="86">
        <v>10800</v>
      </c>
      <c r="F51" s="109" t="s">
        <v>330</v>
      </c>
      <c r="G51" s="109"/>
      <c r="H51" s="109"/>
      <c r="I51" s="109"/>
      <c r="J51" s="54" t="s">
        <v>319</v>
      </c>
    </row>
    <row r="52" spans="1:11" s="22" customFormat="1" ht="32.450000000000003" customHeight="1" x14ac:dyDescent="0.25">
      <c r="A52" s="86"/>
      <c r="B52" s="85"/>
      <c r="C52" s="86"/>
      <c r="D52" s="86"/>
      <c r="E52" s="86"/>
      <c r="F52" s="122"/>
      <c r="G52" s="123"/>
      <c r="H52" s="123"/>
      <c r="I52" s="124"/>
      <c r="J52" s="54"/>
    </row>
    <row r="53" spans="1:11" s="22" customFormat="1" ht="32.450000000000003" customHeight="1" x14ac:dyDescent="0.25">
      <c r="A53" s="86"/>
      <c r="B53" s="85" t="s">
        <v>331</v>
      </c>
      <c r="C53" s="8">
        <v>1.4224315068493152E-8</v>
      </c>
      <c r="D53" s="3">
        <v>1.0890410958904109E-8</v>
      </c>
      <c r="E53" s="3">
        <v>6.6063582321013193E-9</v>
      </c>
      <c r="F53" s="122" t="s">
        <v>332</v>
      </c>
      <c r="G53" s="122"/>
      <c r="H53" s="122"/>
      <c r="I53" s="122"/>
      <c r="J53" s="54"/>
    </row>
    <row r="54" spans="1:11" s="22" customFormat="1" ht="32.25" customHeight="1" x14ac:dyDescent="0.25">
      <c r="A54" s="86" t="s">
        <v>316</v>
      </c>
      <c r="B54" s="85" t="s">
        <v>317</v>
      </c>
      <c r="C54" s="86">
        <v>3</v>
      </c>
      <c r="D54" s="86">
        <v>2</v>
      </c>
      <c r="E54" s="86">
        <v>1</v>
      </c>
      <c r="F54" s="109" t="s">
        <v>333</v>
      </c>
      <c r="G54" s="109"/>
      <c r="H54" s="109"/>
      <c r="I54" s="109"/>
      <c r="J54" s="54" t="s">
        <v>319</v>
      </c>
    </row>
    <row r="55" spans="1:11" s="22" customFormat="1" ht="46.5" customHeight="1" x14ac:dyDescent="0.25">
      <c r="A55" s="86" t="s">
        <v>287</v>
      </c>
      <c r="B55" s="85" t="s">
        <v>326</v>
      </c>
      <c r="C55" s="89">
        <v>57</v>
      </c>
      <c r="D55" s="89">
        <f>16-11</f>
        <v>5</v>
      </c>
      <c r="E55" s="89">
        <f>11-6</f>
        <v>5</v>
      </c>
      <c r="F55" s="109" t="s">
        <v>334</v>
      </c>
      <c r="G55" s="109"/>
      <c r="H55" s="109"/>
      <c r="I55" s="109"/>
      <c r="J55" s="54" t="s">
        <v>670</v>
      </c>
    </row>
    <row r="56" spans="1:11" s="22" customFormat="1" ht="46.5" customHeight="1" x14ac:dyDescent="0.25">
      <c r="A56" s="86" t="s">
        <v>283</v>
      </c>
      <c r="B56" s="85" t="s">
        <v>290</v>
      </c>
      <c r="C56" s="86">
        <f>C55</f>
        <v>57</v>
      </c>
      <c r="D56" s="86">
        <f>D55</f>
        <v>5</v>
      </c>
      <c r="E56" s="86">
        <f>E55</f>
        <v>5</v>
      </c>
      <c r="F56" s="109" t="s">
        <v>289</v>
      </c>
      <c r="G56" s="109"/>
      <c r="H56" s="109"/>
      <c r="I56" s="109"/>
      <c r="J56" s="54" t="s">
        <v>670</v>
      </c>
    </row>
    <row r="57" spans="1:11" s="22" customFormat="1" ht="30" x14ac:dyDescent="0.25">
      <c r="A57" s="86" t="s">
        <v>335</v>
      </c>
      <c r="B57" s="85" t="s">
        <v>336</v>
      </c>
      <c r="C57" s="121">
        <v>1.09E-3</v>
      </c>
      <c r="D57" s="116"/>
      <c r="E57" s="116"/>
      <c r="F57" s="109" t="s">
        <v>337</v>
      </c>
      <c r="G57" s="109"/>
      <c r="H57" s="109"/>
      <c r="I57" s="109"/>
      <c r="J57" s="54" t="s">
        <v>338</v>
      </c>
    </row>
    <row r="58" spans="1:11" s="22" customFormat="1" x14ac:dyDescent="0.25">
      <c r="A58" s="86" t="s">
        <v>293</v>
      </c>
      <c r="B58" s="85" t="s">
        <v>294</v>
      </c>
      <c r="C58" s="115">
        <v>1E-3</v>
      </c>
      <c r="D58" s="115"/>
      <c r="E58" s="115"/>
      <c r="F58" s="111"/>
      <c r="G58" s="111"/>
      <c r="H58" s="111"/>
      <c r="I58" s="111"/>
      <c r="J58" s="25"/>
    </row>
    <row r="59" spans="1:11" s="22" customFormat="1" ht="17.25" x14ac:dyDescent="0.25">
      <c r="A59" s="86" t="s">
        <v>295</v>
      </c>
      <c r="B59" s="85" t="s">
        <v>339</v>
      </c>
      <c r="C59" s="115">
        <v>1E-3</v>
      </c>
      <c r="D59" s="115"/>
      <c r="E59" s="115"/>
      <c r="F59" s="111"/>
      <c r="G59" s="111"/>
      <c r="H59" s="111"/>
      <c r="I59" s="111"/>
      <c r="J59" s="86"/>
    </row>
    <row r="60" spans="1:11" s="22" customFormat="1" ht="30" x14ac:dyDescent="0.25">
      <c r="A60" s="86" t="s">
        <v>340</v>
      </c>
      <c r="B60" s="85" t="s">
        <v>296</v>
      </c>
      <c r="C60" s="110">
        <v>365</v>
      </c>
      <c r="D60" s="110"/>
      <c r="E60" s="110"/>
      <c r="F60" s="111"/>
      <c r="G60" s="111"/>
      <c r="H60" s="111"/>
      <c r="I60" s="111"/>
      <c r="J60" s="86"/>
    </row>
    <row r="61" spans="1:11" s="22" customFormat="1" x14ac:dyDescent="0.25">
      <c r="B61" s="18"/>
    </row>
    <row r="62" spans="1:11" s="19" customFormat="1" x14ac:dyDescent="0.25">
      <c r="A62" s="19" t="s">
        <v>341</v>
      </c>
      <c r="B62" s="20"/>
      <c r="D62" s="20"/>
      <c r="E62" s="20"/>
      <c r="F62" s="20"/>
    </row>
    <row r="63" spans="1:11" s="18" customFormat="1" ht="45.75" thickBot="1" x14ac:dyDescent="0.3">
      <c r="A63" s="92" t="s">
        <v>342</v>
      </c>
      <c r="B63" s="92" t="s">
        <v>343</v>
      </c>
      <c r="C63" s="128" t="s">
        <v>344</v>
      </c>
      <c r="D63" s="129"/>
      <c r="E63" s="92" t="s">
        <v>345</v>
      </c>
      <c r="F63" s="92" t="s">
        <v>346</v>
      </c>
      <c r="G63" s="130" t="s">
        <v>266</v>
      </c>
      <c r="H63" s="130"/>
      <c r="I63" s="130"/>
      <c r="J63" s="130"/>
    </row>
    <row r="64" spans="1:11" s="22" customFormat="1" ht="35.450000000000003" customHeight="1" thickTop="1" x14ac:dyDescent="0.25">
      <c r="A64" s="12" t="s">
        <v>347</v>
      </c>
      <c r="B64" s="84" t="s">
        <v>348</v>
      </c>
      <c r="C64" s="113" t="s">
        <v>349</v>
      </c>
      <c r="D64" s="131"/>
      <c r="E64" s="56">
        <v>19.899999999999999</v>
      </c>
      <c r="F64" s="57">
        <v>30</v>
      </c>
      <c r="G64" s="108" t="s">
        <v>350</v>
      </c>
      <c r="H64" s="108"/>
      <c r="I64" s="108"/>
      <c r="J64" s="108"/>
    </row>
    <row r="65" spans="1:10" s="22" customFormat="1" ht="30" customHeight="1" x14ac:dyDescent="0.25">
      <c r="A65" s="86" t="s">
        <v>351</v>
      </c>
      <c r="B65" s="85" t="s">
        <v>352</v>
      </c>
      <c r="C65" s="114" t="s">
        <v>353</v>
      </c>
      <c r="D65" s="125"/>
      <c r="E65" s="89">
        <v>6.5</v>
      </c>
      <c r="F65" s="89">
        <v>300</v>
      </c>
      <c r="G65" s="109" t="s">
        <v>350</v>
      </c>
      <c r="H65" s="109"/>
      <c r="I65" s="109"/>
      <c r="J65" s="109"/>
    </row>
    <row r="66" spans="1:10" s="22" customFormat="1" ht="33" customHeight="1" x14ac:dyDescent="0.25">
      <c r="A66" s="86" t="s">
        <v>351</v>
      </c>
      <c r="B66" s="85" t="s">
        <v>354</v>
      </c>
      <c r="C66" s="126" t="s">
        <v>355</v>
      </c>
      <c r="D66" s="127"/>
      <c r="E66" s="90">
        <v>6.2E-2</v>
      </c>
      <c r="F66" s="90">
        <v>9.9999999999999995E-7</v>
      </c>
      <c r="G66" s="109" t="s">
        <v>356</v>
      </c>
      <c r="H66" s="109"/>
      <c r="I66" s="109"/>
      <c r="J66" s="109"/>
    </row>
    <row r="67" spans="1:10" s="22" customFormat="1" ht="32.1" customHeight="1" x14ac:dyDescent="0.25">
      <c r="A67" s="86" t="s">
        <v>357</v>
      </c>
      <c r="B67" s="85" t="s">
        <v>358</v>
      </c>
      <c r="C67" s="109" t="s">
        <v>349</v>
      </c>
      <c r="D67" s="109"/>
      <c r="E67" s="56">
        <v>19.899999999999999</v>
      </c>
      <c r="F67" s="57">
        <v>30</v>
      </c>
      <c r="G67" s="108" t="s">
        <v>350</v>
      </c>
      <c r="H67" s="108"/>
      <c r="I67" s="108"/>
      <c r="J67" s="108"/>
    </row>
    <row r="68" spans="1:10" x14ac:dyDescent="0.25">
      <c r="A68" s="86" t="s">
        <v>359</v>
      </c>
      <c r="B68" s="85"/>
      <c r="C68" s="114" t="s">
        <v>360</v>
      </c>
      <c r="D68" s="125"/>
      <c r="E68" s="90">
        <v>3.9E-2</v>
      </c>
      <c r="F68" s="89"/>
      <c r="G68" s="109"/>
      <c r="H68" s="109"/>
      <c r="I68" s="109"/>
      <c r="J68" s="109"/>
    </row>
    <row r="69" spans="1:10" x14ac:dyDescent="0.25">
      <c r="A69" s="22"/>
      <c r="B69" s="18"/>
      <c r="C69" s="18"/>
      <c r="D69" s="18"/>
      <c r="E69" s="21"/>
      <c r="F69" s="22"/>
      <c r="G69" s="18"/>
      <c r="H69" s="18"/>
      <c r="I69" s="18"/>
      <c r="J69" s="18"/>
    </row>
    <row r="70" spans="1:10" x14ac:dyDescent="0.25">
      <c r="A70" s="5" t="s">
        <v>361</v>
      </c>
      <c r="B70" s="11"/>
    </row>
    <row r="71" spans="1:10" ht="15.75" thickBot="1" x14ac:dyDescent="0.3">
      <c r="A71" s="87" t="s">
        <v>258</v>
      </c>
      <c r="B71" s="87" t="s">
        <v>259</v>
      </c>
      <c r="C71" s="92" t="s">
        <v>362</v>
      </c>
      <c r="D71" s="92" t="s">
        <v>363</v>
      </c>
      <c r="E71" s="92" t="s">
        <v>364</v>
      </c>
      <c r="F71" s="105" t="s">
        <v>266</v>
      </c>
      <c r="G71" s="106"/>
      <c r="H71" s="106"/>
      <c r="I71" s="107"/>
      <c r="J71" s="92" t="s">
        <v>267</v>
      </c>
    </row>
    <row r="72" spans="1:10" ht="15.75" thickTop="1" x14ac:dyDescent="0.25">
      <c r="A72" s="12" t="s">
        <v>365</v>
      </c>
      <c r="B72" s="85" t="s">
        <v>366</v>
      </c>
      <c r="C72" s="59">
        <v>12400</v>
      </c>
      <c r="D72" s="12"/>
      <c r="E72" s="12"/>
      <c r="F72" s="108" t="s">
        <v>367</v>
      </c>
      <c r="G72" s="108"/>
      <c r="H72" s="108"/>
      <c r="I72" s="108"/>
      <c r="J72" s="54"/>
    </row>
    <row r="73" spans="1:10" ht="18.75" customHeight="1" x14ac:dyDescent="0.25">
      <c r="A73" s="86"/>
      <c r="B73" s="84"/>
      <c r="C73" s="14"/>
      <c r="D73" s="14"/>
      <c r="E73" s="86"/>
      <c r="F73" s="109"/>
      <c r="G73" s="109"/>
      <c r="H73" s="109"/>
      <c r="I73" s="109"/>
      <c r="J73" s="54"/>
    </row>
  </sheetData>
  <sheetProtection sheet="1" objects="1" scenarios="1" formatCells="0" formatColumns="0" formatRows="0"/>
  <mergeCells count="79">
    <mergeCell ref="C68:D68"/>
    <mergeCell ref="G68:J68"/>
    <mergeCell ref="C19:H19"/>
    <mergeCell ref="I19:L19"/>
    <mergeCell ref="C66:D66"/>
    <mergeCell ref="G66:J66"/>
    <mergeCell ref="C67:D67"/>
    <mergeCell ref="G67:J67"/>
    <mergeCell ref="C63:D63"/>
    <mergeCell ref="G63:J63"/>
    <mergeCell ref="C64:D64"/>
    <mergeCell ref="G64:J64"/>
    <mergeCell ref="C65:D65"/>
    <mergeCell ref="G65:J65"/>
    <mergeCell ref="C58:E58"/>
    <mergeCell ref="F58:I58"/>
    <mergeCell ref="C59:E59"/>
    <mergeCell ref="F59:I59"/>
    <mergeCell ref="C60:E60"/>
    <mergeCell ref="F60:I60"/>
    <mergeCell ref="F51:I51"/>
    <mergeCell ref="F54:I54"/>
    <mergeCell ref="F55:I55"/>
    <mergeCell ref="F56:I56"/>
    <mergeCell ref="C57:E57"/>
    <mergeCell ref="F57:I57"/>
    <mergeCell ref="F53:I53"/>
    <mergeCell ref="F52:I52"/>
    <mergeCell ref="F45:I45"/>
    <mergeCell ref="C46:E46"/>
    <mergeCell ref="F46:I46"/>
    <mergeCell ref="F49:I49"/>
    <mergeCell ref="F50:I50"/>
    <mergeCell ref="I10:L10"/>
    <mergeCell ref="I5:L5"/>
    <mergeCell ref="I6:L6"/>
    <mergeCell ref="I7:L7"/>
    <mergeCell ref="I8:L8"/>
    <mergeCell ref="I9:L9"/>
    <mergeCell ref="I11:L11"/>
    <mergeCell ref="I12:L12"/>
    <mergeCell ref="I13:L13"/>
    <mergeCell ref="C14:H14"/>
    <mergeCell ref="I14:L14"/>
    <mergeCell ref="C15:H15"/>
    <mergeCell ref="I15:L15"/>
    <mergeCell ref="C16:H16"/>
    <mergeCell ref="I16:L16"/>
    <mergeCell ref="C18:H18"/>
    <mergeCell ref="I18:L18"/>
    <mergeCell ref="C17:H17"/>
    <mergeCell ref="I17:L17"/>
    <mergeCell ref="C31:H31"/>
    <mergeCell ref="I31:L3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F71:I71"/>
    <mergeCell ref="F72:I72"/>
    <mergeCell ref="F73:I73"/>
    <mergeCell ref="C33:H33"/>
    <mergeCell ref="I33:L33"/>
    <mergeCell ref="C34:H34"/>
    <mergeCell ref="I34:L34"/>
    <mergeCell ref="F37:I37"/>
    <mergeCell ref="F38:I38"/>
    <mergeCell ref="F39:I39"/>
    <mergeCell ref="F40:I40"/>
    <mergeCell ref="F41:I41"/>
    <mergeCell ref="F42:I42"/>
    <mergeCell ref="F43:I43"/>
    <mergeCell ref="F44:I44"/>
    <mergeCell ref="C45:E45"/>
  </mergeCells>
  <hyperlinks>
    <hyperlink ref="M12" r:id="rId1" xr:uid="{6CC5D3CE-E6E1-46D8-9114-0AFBB63E4561}"/>
    <hyperlink ref="M11" r:id="rId2" display="https://hero.epa.gov/hero/index.cfm/reference/details/reference_id/4565445" xr:uid="{06EE3910-1E18-4E95-8084-B55EBBA1FADD}"/>
    <hyperlink ref="M6" r:id="rId3" display="https://hero.epa.gov/hero/index.cfm/reference/details/reference_id/7267482" xr:uid="{57A638A6-AA4D-487E-8DBB-7C70D5DE9168}"/>
    <hyperlink ref="M13" r:id="rId4" xr:uid="{F8EF8647-EE96-49B2-AD97-5F1389C12ED1}"/>
    <hyperlink ref="M14" r:id="rId5" xr:uid="{7B31072C-3633-4977-80F1-808B8AB939C1}"/>
    <hyperlink ref="M8" r:id="rId6" xr:uid="{C7D96348-77C0-4674-B711-8D6C7FA45B59}"/>
    <hyperlink ref="M7" r:id="rId7" display="https://hero.epa.gov/hero/index.cfm/reference/details/reference_id/7267482" xr:uid="{9E3E272C-6976-41B3-8971-A4DC61CBCBB6}"/>
    <hyperlink ref="M29" r:id="rId8" display="https://hero.epa.gov/hero/index.cfm/reference/details/reference_id/7485096" xr:uid="{3FD228CD-0982-438F-BA49-E281A5495DAC}"/>
    <hyperlink ref="M28" r:id="rId9" display="https://hero.epa.gov/hero/index.cfm/reference/details/reference_id/4565445" xr:uid="{B10D247C-1110-495E-A095-E909476C5756}"/>
    <hyperlink ref="M30" r:id="rId10" display="https://hero.epa.gov/hero/index.cfm/reference/details/reference_id/7485096" xr:uid="{20017CA5-CE9D-47E1-BFF9-93DE5D3A62FD}"/>
    <hyperlink ref="M31" r:id="rId11" display="https://hero.epa.gov/hero/index.cfm/reference/details/reference_id/7485096" xr:uid="{5007D35E-B2CF-4D9A-A511-7864EDABE8CF}"/>
    <hyperlink ref="M25" r:id="rId12" display="https://hero.epa.gov/hero/index.cfm/reference/details/reference_id/7485096" xr:uid="{2A15215F-720B-4191-B585-5BA57EC626F1}"/>
    <hyperlink ref="J50" r:id="rId13" xr:uid="{A58846CB-8237-4B88-9B55-7D70226D3716}"/>
    <hyperlink ref="J56" r:id="rId14" xr:uid="{89501DFF-723B-4A65-BC80-97494F1B7A20}"/>
    <hyperlink ref="J51" r:id="rId15" display="https://hero.epa.gov/hero/index.cfm/reference/details/reference_id/6811897" xr:uid="{B0D7BEFB-D0CD-45D7-B52B-B15FE7F453BF}"/>
    <hyperlink ref="J38" r:id="rId16" display="https://hero.epa.gov/hero/index.cfm/reference/details/reference_id/7267482" xr:uid="{1E7AE573-EC7F-4B9B-B613-49B67419073B}"/>
    <hyperlink ref="J39" r:id="rId17" xr:uid="{75A0C0D0-6137-44A9-B131-C0C3A9FD8E14}"/>
    <hyperlink ref="J43" r:id="rId18" xr:uid="{BE1D4760-C3DB-4EF9-93BE-E3B6815CB8DE}"/>
    <hyperlink ref="J44" r:id="rId19" xr:uid="{13E461C8-678D-4F48-B83F-25A6CFF1F5ED}"/>
    <hyperlink ref="J40" r:id="rId20" display="https://hero.epa.gov/hero/index.cfm/reference/details/reference_id/6811897" xr:uid="{C3E46A57-7C1E-4DA4-A8E0-1635C355F0B8}"/>
    <hyperlink ref="J54" r:id="rId21" display="https://hero.epa.gov/hero/index.cfm/reference/details/reference_id/6811897" xr:uid="{BC3D05CE-F3B0-4B5F-9D2B-F667A8CB07DE}"/>
    <hyperlink ref="J55" r:id="rId22" xr:uid="{BD7A408C-D533-A346-A3A4-012F1692FA14}"/>
    <hyperlink ref="J57" r:id="rId23" xr:uid="{BC60FF7E-5431-4DE1-9B5E-222F0CE07F9F}"/>
  </hyperlinks>
  <pageMargins left="0.7" right="0.7" top="0.75" bottom="0.75" header="0.3" footer="0.3"/>
  <pageSetup orientation="portrait" r:id="rId2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DFB31-1285-4F67-A300-B6932C7B8150}">
  <dimension ref="A1:Q76"/>
  <sheetViews>
    <sheetView zoomScaleNormal="100" workbookViewId="0"/>
  </sheetViews>
  <sheetFormatPr defaultColWidth="8.42578125" defaultRowHeight="15" x14ac:dyDescent="0.25"/>
  <cols>
    <col min="1" max="9" width="8.42578125" style="26"/>
    <col min="10" max="10" width="12.42578125" style="26" customWidth="1"/>
    <col min="11" max="11" width="40" style="26" customWidth="1"/>
    <col min="12" max="12" width="8.42578125" style="26"/>
    <col min="13" max="13" width="12.42578125" style="26" customWidth="1"/>
    <col min="14" max="15" width="8.42578125" style="26"/>
    <col min="16" max="16" width="10.140625" style="26" customWidth="1"/>
    <col min="17" max="17" width="14.140625" style="26" customWidth="1"/>
    <col min="18" max="16384" width="8.42578125" style="26"/>
  </cols>
  <sheetData>
    <row r="1" spans="1:17" ht="15.75" customHeight="1" x14ac:dyDescent="0.25">
      <c r="A1" s="27" t="s">
        <v>368</v>
      </c>
      <c r="J1" s="28"/>
      <c r="K1" s="29" t="s">
        <v>369</v>
      </c>
      <c r="L1" s="30"/>
      <c r="M1" s="30"/>
    </row>
    <row r="2" spans="1:17" ht="14.45" customHeight="1" x14ac:dyDescent="0.25">
      <c r="I2" s="28"/>
      <c r="J2" s="28"/>
      <c r="K2" s="29" t="s">
        <v>370</v>
      </c>
      <c r="L2" s="30" t="s">
        <v>219</v>
      </c>
      <c r="M2" s="30"/>
    </row>
    <row r="3" spans="1:17" ht="14.45" customHeight="1" x14ac:dyDescent="0.25">
      <c r="J3" s="28"/>
      <c r="K3" s="27" t="s">
        <v>371</v>
      </c>
      <c r="L3" s="26">
        <v>10</v>
      </c>
    </row>
    <row r="4" spans="1:17" ht="14.45" customHeight="1" x14ac:dyDescent="0.25">
      <c r="I4" s="28"/>
      <c r="J4" s="28"/>
      <c r="K4" s="27" t="s">
        <v>372</v>
      </c>
      <c r="L4" s="29" t="s">
        <v>373</v>
      </c>
      <c r="M4" s="29" t="s">
        <v>374</v>
      </c>
      <c r="N4" s="27"/>
      <c r="P4" s="27" t="s">
        <v>373</v>
      </c>
      <c r="Q4" s="27" t="s">
        <v>374</v>
      </c>
    </row>
    <row r="5" spans="1:17" ht="14.45" customHeight="1" x14ac:dyDescent="0.25">
      <c r="I5" s="28"/>
      <c r="J5" s="28"/>
      <c r="K5" s="29" t="s">
        <v>258</v>
      </c>
      <c r="L5" s="29" t="s">
        <v>375</v>
      </c>
      <c r="M5" s="27" t="s">
        <v>375</v>
      </c>
      <c r="N5" s="29" t="s">
        <v>376</v>
      </c>
      <c r="O5" s="31" t="s">
        <v>377</v>
      </c>
      <c r="P5" s="32">
        <f>(L6*(1-L8/100)*L9*L11*L18)/(L17*L14)</f>
        <v>0.16418868421052629</v>
      </c>
      <c r="Q5" s="32">
        <f>(M6*(1-M8/100)*M9*M11*M18)/(M17*M14)</f>
        <v>0.57606127659574469</v>
      </c>
    </row>
    <row r="6" spans="1:17" ht="14.45" customHeight="1" x14ac:dyDescent="0.25">
      <c r="I6" s="28"/>
      <c r="J6" s="28"/>
      <c r="K6" s="30" t="s">
        <v>378</v>
      </c>
      <c r="L6" s="46">
        <v>10200</v>
      </c>
      <c r="M6" s="46">
        <v>10200</v>
      </c>
      <c r="N6" s="30" t="s">
        <v>366</v>
      </c>
      <c r="O6" s="31" t="s">
        <v>379</v>
      </c>
      <c r="P6" s="32">
        <f>(L7*(1-L8/100)*L10*L13*L12*L18)/(L17*L15*L19)</f>
        <v>1.229049747656813E-4</v>
      </c>
      <c r="Q6" s="32">
        <f>(M7*(1-M8/100)*M10*M13*M12*M18)/(M17*M15*M19)</f>
        <v>3.139376275138443E-4</v>
      </c>
    </row>
    <row r="7" spans="1:17" ht="14.45" customHeight="1" x14ac:dyDescent="0.25">
      <c r="I7" s="28"/>
      <c r="J7" s="28"/>
      <c r="K7" s="30" t="s">
        <v>380</v>
      </c>
      <c r="L7" s="46">
        <v>10200</v>
      </c>
      <c r="M7" s="46">
        <v>10200</v>
      </c>
      <c r="N7" s="30" t="s">
        <v>366</v>
      </c>
      <c r="O7" s="31" t="s">
        <v>381</v>
      </c>
      <c r="P7" s="32">
        <f>(L7*(1-L8/100)*L10*L13*L12*L18)/(L17*L16*L19)</f>
        <v>5.1998258554711318E-5</v>
      </c>
      <c r="Q7" s="32">
        <f>(M7*(1-M8/100)*M10*M13*M12*M18)/(M17*M16*M19)</f>
        <v>4.0248413783826191E-6</v>
      </c>
    </row>
    <row r="8" spans="1:17" ht="14.45" customHeight="1" x14ac:dyDescent="0.25">
      <c r="I8" s="28"/>
      <c r="J8" s="28"/>
      <c r="K8" s="30" t="s">
        <v>297</v>
      </c>
      <c r="L8" s="30">
        <v>90</v>
      </c>
      <c r="M8" s="30">
        <v>90</v>
      </c>
      <c r="N8" s="30" t="s">
        <v>382</v>
      </c>
      <c r="O8" s="31" t="s">
        <v>383</v>
      </c>
      <c r="P8" s="32">
        <f>(L7*(1-L8/100)*L13*L12*L18)/(L16*L19)</f>
        <v>4.7291886195995779E-3</v>
      </c>
      <c r="Q8" s="32">
        <f>(M7*(1-M8/100)*M13*M12*M18)/(M16*M19)</f>
        <v>1.4330874604847205E-4</v>
      </c>
    </row>
    <row r="9" spans="1:17" ht="14.45" customHeight="1" x14ac:dyDescent="0.25">
      <c r="I9" s="28"/>
      <c r="J9" s="28"/>
      <c r="K9" s="30" t="s">
        <v>384</v>
      </c>
      <c r="L9" s="33">
        <v>3.2193859649122807</v>
      </c>
      <c r="M9" s="30">
        <v>1.1060000000000001</v>
      </c>
      <c r="N9" s="30" t="s">
        <v>385</v>
      </c>
    </row>
    <row r="10" spans="1:17" ht="14.45" customHeight="1" x14ac:dyDescent="0.25">
      <c r="I10" s="28"/>
      <c r="J10" s="28"/>
      <c r="K10" s="30" t="s">
        <v>386</v>
      </c>
      <c r="L10" s="26">
        <v>0.87961403508771929</v>
      </c>
      <c r="M10" s="26">
        <v>0.22</v>
      </c>
    </row>
    <row r="11" spans="1:17" ht="14.45" customHeight="1" x14ac:dyDescent="0.25">
      <c r="I11" s="28"/>
      <c r="J11" s="28"/>
      <c r="K11" s="30" t="s">
        <v>387</v>
      </c>
      <c r="L11" s="30">
        <v>4</v>
      </c>
      <c r="M11" s="30">
        <v>4</v>
      </c>
      <c r="N11" s="30" t="s">
        <v>388</v>
      </c>
    </row>
    <row r="12" spans="1:17" ht="14.45" customHeight="1" x14ac:dyDescent="0.25">
      <c r="I12" s="28"/>
      <c r="J12" s="28"/>
      <c r="K12" s="30" t="s">
        <v>389</v>
      </c>
      <c r="L12" s="30">
        <v>4</v>
      </c>
      <c r="M12" s="30">
        <v>4</v>
      </c>
      <c r="N12" s="30" t="s">
        <v>390</v>
      </c>
      <c r="P12" s="34"/>
    </row>
    <row r="13" spans="1:17" ht="14.45" customHeight="1" x14ac:dyDescent="0.25">
      <c r="I13" s="28"/>
      <c r="J13" s="28"/>
      <c r="K13" s="30" t="s">
        <v>391</v>
      </c>
      <c r="L13" s="30">
        <v>33</v>
      </c>
      <c r="M13" s="30">
        <v>1</v>
      </c>
      <c r="N13" s="30" t="s">
        <v>392</v>
      </c>
      <c r="P13" s="34"/>
    </row>
    <row r="14" spans="1:17" ht="14.45" customHeight="1" x14ac:dyDescent="0.25">
      <c r="I14" s="28"/>
      <c r="J14" s="28"/>
      <c r="K14" s="30" t="s">
        <v>393</v>
      </c>
      <c r="L14" s="30">
        <v>1</v>
      </c>
      <c r="M14" s="30">
        <v>1</v>
      </c>
      <c r="N14" s="30" t="s">
        <v>388</v>
      </c>
      <c r="P14" s="34"/>
    </row>
    <row r="15" spans="1:17" ht="14.45" customHeight="1" x14ac:dyDescent="0.25">
      <c r="I15" s="28"/>
      <c r="J15" s="28"/>
      <c r="K15" s="30" t="s">
        <v>394</v>
      </c>
      <c r="L15" s="30">
        <v>33</v>
      </c>
      <c r="M15" s="30">
        <v>1</v>
      </c>
      <c r="N15" s="30" t="s">
        <v>392</v>
      </c>
      <c r="P15" s="34"/>
    </row>
    <row r="16" spans="1:17" ht="14.45" customHeight="1" x14ac:dyDescent="0.25">
      <c r="I16" s="28"/>
      <c r="J16" s="28"/>
      <c r="K16" s="30" t="s">
        <v>395</v>
      </c>
      <c r="L16" s="30">
        <v>78</v>
      </c>
      <c r="M16" s="30">
        <v>78</v>
      </c>
      <c r="N16" s="30" t="s">
        <v>392</v>
      </c>
    </row>
    <row r="17" spans="1:14" ht="16.5" x14ac:dyDescent="0.25">
      <c r="A17" s="30" t="s">
        <v>396</v>
      </c>
      <c r="B17" s="30" t="s">
        <v>397</v>
      </c>
      <c r="C17" s="30" t="s">
        <v>398</v>
      </c>
      <c r="K17" s="30" t="s">
        <v>399</v>
      </c>
      <c r="L17" s="26">
        <v>80</v>
      </c>
      <c r="M17" s="35">
        <v>7.833333333333333</v>
      </c>
      <c r="N17" s="26" t="s">
        <v>400</v>
      </c>
    </row>
    <row r="18" spans="1:14" ht="16.5" x14ac:dyDescent="0.25">
      <c r="A18" s="30" t="s">
        <v>401</v>
      </c>
      <c r="B18" s="30" t="s">
        <v>397</v>
      </c>
      <c r="C18" s="30" t="s">
        <v>402</v>
      </c>
      <c r="K18" s="30" t="s">
        <v>403</v>
      </c>
      <c r="L18" s="26">
        <v>1E-3</v>
      </c>
      <c r="M18" s="26">
        <v>1E-3</v>
      </c>
      <c r="N18" s="30" t="s">
        <v>404</v>
      </c>
    </row>
    <row r="19" spans="1:14" ht="16.5" x14ac:dyDescent="0.25">
      <c r="A19" s="30" t="s">
        <v>405</v>
      </c>
      <c r="B19" s="30" t="s">
        <v>397</v>
      </c>
      <c r="C19" s="30" t="s">
        <v>406</v>
      </c>
      <c r="K19" s="30" t="s">
        <v>407</v>
      </c>
      <c r="L19" s="26">
        <v>365</v>
      </c>
      <c r="M19" s="26">
        <v>365</v>
      </c>
      <c r="N19" s="26" t="s">
        <v>408</v>
      </c>
    </row>
    <row r="20" spans="1:14" ht="16.5" x14ac:dyDescent="0.25">
      <c r="A20" s="30" t="s">
        <v>409</v>
      </c>
      <c r="B20" s="30" t="s">
        <v>397</v>
      </c>
      <c r="C20" s="30" t="s">
        <v>410</v>
      </c>
    </row>
    <row r="21" spans="1:14" x14ac:dyDescent="0.25">
      <c r="A21" s="30" t="s">
        <v>411</v>
      </c>
      <c r="B21" s="30" t="s">
        <v>397</v>
      </c>
      <c r="C21" s="30" t="s">
        <v>412</v>
      </c>
    </row>
    <row r="22" spans="1:14" x14ac:dyDescent="0.25">
      <c r="A22" s="30" t="s">
        <v>297</v>
      </c>
      <c r="B22" s="30" t="s">
        <v>397</v>
      </c>
      <c r="C22" s="30" t="s">
        <v>413</v>
      </c>
    </row>
    <row r="23" spans="1:14" ht="16.5" x14ac:dyDescent="0.25">
      <c r="A23" s="30" t="s">
        <v>414</v>
      </c>
      <c r="B23" s="30" t="s">
        <v>397</v>
      </c>
      <c r="C23" s="30" t="s">
        <v>415</v>
      </c>
    </row>
    <row r="24" spans="1:14" ht="16.5" x14ac:dyDescent="0.25">
      <c r="A24" s="30" t="s">
        <v>299</v>
      </c>
      <c r="B24" s="30" t="s">
        <v>397</v>
      </c>
      <c r="C24" s="30" t="s">
        <v>416</v>
      </c>
    </row>
    <row r="25" spans="1:14" x14ac:dyDescent="0.25">
      <c r="A25" s="30" t="s">
        <v>287</v>
      </c>
      <c r="B25" s="30" t="s">
        <v>397</v>
      </c>
      <c r="C25" s="30" t="s">
        <v>417</v>
      </c>
    </row>
    <row r="26" spans="1:14" x14ac:dyDescent="0.25">
      <c r="A26" s="30" t="s">
        <v>275</v>
      </c>
      <c r="B26" s="30" t="s">
        <v>397</v>
      </c>
      <c r="C26" s="30" t="s">
        <v>276</v>
      </c>
    </row>
    <row r="27" spans="1:14" x14ac:dyDescent="0.25">
      <c r="A27" s="30" t="s">
        <v>283</v>
      </c>
      <c r="B27" s="30" t="s">
        <v>397</v>
      </c>
      <c r="C27" s="30" t="s">
        <v>417</v>
      </c>
    </row>
    <row r="28" spans="1:14" x14ac:dyDescent="0.25">
      <c r="A28" s="30" t="s">
        <v>293</v>
      </c>
      <c r="B28" s="30" t="s">
        <v>397</v>
      </c>
      <c r="C28" s="30" t="s">
        <v>418</v>
      </c>
    </row>
    <row r="29" spans="1:14" x14ac:dyDescent="0.25">
      <c r="A29" s="30" t="s">
        <v>295</v>
      </c>
      <c r="B29" s="30" t="s">
        <v>397</v>
      </c>
      <c r="C29" s="30" t="s">
        <v>419</v>
      </c>
    </row>
    <row r="30" spans="1:14" x14ac:dyDescent="0.25">
      <c r="A30" s="30"/>
      <c r="B30" s="30"/>
      <c r="C30" s="30"/>
      <c r="K30" s="36"/>
    </row>
    <row r="31" spans="1:14" ht="15.75" customHeight="1" x14ac:dyDescent="0.25">
      <c r="A31" s="132" t="s">
        <v>420</v>
      </c>
      <c r="B31" s="132"/>
      <c r="C31" s="132"/>
      <c r="D31" s="132"/>
      <c r="E31" s="132"/>
      <c r="F31" s="132"/>
      <c r="G31" s="132"/>
      <c r="H31" s="132"/>
      <c r="I31" s="132"/>
      <c r="J31" s="132"/>
      <c r="K31" s="36"/>
    </row>
    <row r="32" spans="1:14" ht="15.75" customHeight="1" x14ac:dyDescent="0.25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36"/>
    </row>
    <row r="33" spans="1:17" ht="15.75" customHeight="1" x14ac:dyDescent="0.25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36"/>
    </row>
    <row r="34" spans="1:17" x14ac:dyDescent="0.25">
      <c r="A34" s="132"/>
      <c r="B34" s="132"/>
      <c r="C34" s="132"/>
      <c r="D34" s="132"/>
      <c r="E34" s="132"/>
      <c r="F34" s="132"/>
      <c r="G34" s="132"/>
      <c r="H34" s="132"/>
      <c r="I34" s="132"/>
      <c r="J34" s="132"/>
    </row>
    <row r="35" spans="1:17" x14ac:dyDescent="0.25">
      <c r="A35" s="132"/>
      <c r="B35" s="132"/>
      <c r="C35" s="132"/>
      <c r="D35" s="132"/>
      <c r="E35" s="132"/>
      <c r="F35" s="132"/>
      <c r="G35" s="132"/>
      <c r="H35" s="132"/>
      <c r="I35" s="132"/>
      <c r="J35" s="132"/>
    </row>
    <row r="36" spans="1:17" x14ac:dyDescent="0.25">
      <c r="A36" s="93"/>
      <c r="B36" s="93"/>
      <c r="C36" s="93"/>
      <c r="D36" s="93"/>
      <c r="E36" s="93"/>
      <c r="F36" s="93"/>
      <c r="G36" s="93"/>
      <c r="H36" s="93"/>
      <c r="I36" s="93"/>
      <c r="J36" s="93"/>
    </row>
    <row r="38" spans="1:17" x14ac:dyDescent="0.25">
      <c r="A38" s="27" t="s">
        <v>421</v>
      </c>
      <c r="K38" s="29" t="s">
        <v>422</v>
      </c>
      <c r="L38" s="30"/>
      <c r="M38" s="30"/>
    </row>
    <row r="39" spans="1:17" x14ac:dyDescent="0.25">
      <c r="K39" s="29" t="s">
        <v>370</v>
      </c>
      <c r="L39" s="30" t="s">
        <v>219</v>
      </c>
      <c r="M39" s="30"/>
    </row>
    <row r="40" spans="1:17" x14ac:dyDescent="0.25">
      <c r="K40" s="27" t="s">
        <v>371</v>
      </c>
      <c r="L40" s="26">
        <v>10</v>
      </c>
    </row>
    <row r="41" spans="1:17" x14ac:dyDescent="0.25">
      <c r="K41" s="27" t="s">
        <v>372</v>
      </c>
      <c r="L41" s="29" t="s">
        <v>373</v>
      </c>
      <c r="M41" s="29" t="s">
        <v>374</v>
      </c>
      <c r="N41" s="27"/>
      <c r="P41" s="27"/>
      <c r="Q41" s="27"/>
    </row>
    <row r="42" spans="1:17" x14ac:dyDescent="0.25">
      <c r="K42" s="29" t="s">
        <v>258</v>
      </c>
      <c r="L42" s="29" t="s">
        <v>375</v>
      </c>
      <c r="M42" s="27" t="s">
        <v>375</v>
      </c>
      <c r="N42" s="29" t="s">
        <v>376</v>
      </c>
      <c r="O42" s="31"/>
      <c r="P42" s="37" t="s">
        <v>373</v>
      </c>
      <c r="Q42" s="37" t="s">
        <v>423</v>
      </c>
    </row>
    <row r="43" spans="1:17" x14ac:dyDescent="0.25">
      <c r="K43" s="30" t="s">
        <v>378</v>
      </c>
      <c r="L43" s="30">
        <v>0.06</v>
      </c>
      <c r="M43" s="30">
        <v>0.06</v>
      </c>
      <c r="N43" s="30" t="s">
        <v>366</v>
      </c>
      <c r="O43" s="31" t="s">
        <v>377</v>
      </c>
      <c r="P43" s="32">
        <f>L43*L47*L52/L51</f>
        <v>2.0700000000000001E-7</v>
      </c>
      <c r="Q43" s="32">
        <f>M43*M47*M52/M51</f>
        <v>3.2112676056338026E-7</v>
      </c>
    </row>
    <row r="44" spans="1:17" x14ac:dyDescent="0.25">
      <c r="K44" s="30" t="s">
        <v>380</v>
      </c>
      <c r="L44" s="30">
        <v>4.2000000000000003E-2</v>
      </c>
      <c r="M44" s="30">
        <v>4.2000000000000003E-2</v>
      </c>
      <c r="N44" s="30" t="s">
        <v>366</v>
      </c>
      <c r="O44" s="31" t="s">
        <v>379</v>
      </c>
      <c r="P44" s="32">
        <f>(L44*L47*L49*L48*L52)/(L51*L50*L53)</f>
        <v>3.9698630136986307E-9</v>
      </c>
      <c r="Q44" s="32">
        <f>(M44*M47*M49*M48*M52)/(M51*M50*M53)</f>
        <v>6.1585954080648273E-9</v>
      </c>
    </row>
    <row r="45" spans="1:17" x14ac:dyDescent="0.25">
      <c r="A45" s="30" t="s">
        <v>424</v>
      </c>
      <c r="B45" s="30" t="s">
        <v>397</v>
      </c>
      <c r="C45" s="30" t="s">
        <v>425</v>
      </c>
      <c r="K45" s="30" t="s">
        <v>426</v>
      </c>
      <c r="L45" s="30">
        <v>9.1999999999999998E-2</v>
      </c>
      <c r="M45" s="30">
        <v>0.152</v>
      </c>
      <c r="N45" s="30" t="s">
        <v>427</v>
      </c>
      <c r="O45" s="31"/>
      <c r="P45" s="32"/>
      <c r="Q45" s="32"/>
    </row>
    <row r="46" spans="1:17" x14ac:dyDescent="0.25">
      <c r="A46" s="30" t="s">
        <v>428</v>
      </c>
      <c r="B46" s="30" t="s">
        <v>397</v>
      </c>
      <c r="C46" s="30" t="s">
        <v>429</v>
      </c>
      <c r="K46" s="30" t="s">
        <v>430</v>
      </c>
      <c r="L46" s="30">
        <v>3</v>
      </c>
      <c r="M46" s="30">
        <v>2</v>
      </c>
      <c r="N46" s="26" t="s">
        <v>431</v>
      </c>
    </row>
    <row r="47" spans="1:17" x14ac:dyDescent="0.25">
      <c r="A47" s="30" t="s">
        <v>411</v>
      </c>
      <c r="B47" s="30" t="s">
        <v>397</v>
      </c>
      <c r="C47" s="30" t="s">
        <v>432</v>
      </c>
      <c r="K47" s="30" t="s">
        <v>433</v>
      </c>
      <c r="L47" s="26">
        <f>L45*L46</f>
        <v>0.27600000000000002</v>
      </c>
      <c r="M47" s="26">
        <f>M45*M46</f>
        <v>0.30399999999999999</v>
      </c>
      <c r="N47" s="30" t="s">
        <v>385</v>
      </c>
    </row>
    <row r="48" spans="1:17" x14ac:dyDescent="0.25">
      <c r="A48" s="30" t="s">
        <v>434</v>
      </c>
      <c r="B48" s="30" t="s">
        <v>397</v>
      </c>
      <c r="C48" s="30" t="s">
        <v>435</v>
      </c>
      <c r="K48" s="30" t="s">
        <v>436</v>
      </c>
      <c r="L48" s="30">
        <v>10</v>
      </c>
      <c r="M48" s="30">
        <v>10</v>
      </c>
      <c r="N48" s="30" t="s">
        <v>390</v>
      </c>
    </row>
    <row r="49" spans="1:17" x14ac:dyDescent="0.25">
      <c r="A49" s="30" t="s">
        <v>299</v>
      </c>
      <c r="B49" s="30" t="s">
        <v>397</v>
      </c>
      <c r="C49" s="30" t="s">
        <v>437</v>
      </c>
      <c r="K49" s="30" t="s">
        <v>438</v>
      </c>
      <c r="L49" s="30">
        <v>33</v>
      </c>
      <c r="M49" s="30">
        <v>5</v>
      </c>
      <c r="N49" s="30" t="s">
        <v>392</v>
      </c>
      <c r="P49" s="34"/>
    </row>
    <row r="50" spans="1:17" x14ac:dyDescent="0.25">
      <c r="A50" s="30" t="s">
        <v>287</v>
      </c>
      <c r="B50" s="30" t="s">
        <v>397</v>
      </c>
      <c r="C50" s="30" t="s">
        <v>439</v>
      </c>
      <c r="K50" s="30" t="s">
        <v>394</v>
      </c>
      <c r="L50" s="30">
        <v>33</v>
      </c>
      <c r="M50" s="30">
        <v>5</v>
      </c>
      <c r="N50" s="30" t="s">
        <v>392</v>
      </c>
      <c r="P50" s="34"/>
    </row>
    <row r="51" spans="1:17" x14ac:dyDescent="0.25">
      <c r="A51" s="30" t="s">
        <v>275</v>
      </c>
      <c r="B51" s="30" t="s">
        <v>397</v>
      </c>
      <c r="C51" s="30" t="s">
        <v>276</v>
      </c>
      <c r="K51" s="30" t="s">
        <v>399</v>
      </c>
      <c r="L51" s="26">
        <v>80</v>
      </c>
      <c r="M51" s="26">
        <v>56.8</v>
      </c>
      <c r="N51" s="26" t="s">
        <v>400</v>
      </c>
      <c r="P51" s="34"/>
    </row>
    <row r="52" spans="1:17" x14ac:dyDescent="0.25">
      <c r="A52" s="30" t="s">
        <v>283</v>
      </c>
      <c r="B52" s="30" t="s">
        <v>397</v>
      </c>
      <c r="C52" s="30" t="s">
        <v>440</v>
      </c>
      <c r="K52" s="30" t="s">
        <v>403</v>
      </c>
      <c r="L52" s="26">
        <v>1E-3</v>
      </c>
      <c r="M52" s="26">
        <v>1E-3</v>
      </c>
      <c r="N52" s="30" t="s">
        <v>404</v>
      </c>
      <c r="P52" s="34"/>
    </row>
    <row r="53" spans="1:17" x14ac:dyDescent="0.25">
      <c r="A53" s="30" t="s">
        <v>293</v>
      </c>
      <c r="B53" s="30" t="s">
        <v>397</v>
      </c>
      <c r="C53" s="30" t="s">
        <v>418</v>
      </c>
      <c r="K53" s="30" t="s">
        <v>407</v>
      </c>
      <c r="L53" s="26">
        <v>365</v>
      </c>
      <c r="M53" s="26">
        <v>365</v>
      </c>
      <c r="N53" s="26" t="s">
        <v>408</v>
      </c>
    </row>
    <row r="54" spans="1:17" x14ac:dyDescent="0.25">
      <c r="A54" s="30" t="s">
        <v>295</v>
      </c>
      <c r="B54" s="30" t="s">
        <v>397</v>
      </c>
      <c r="C54" s="30" t="s">
        <v>419</v>
      </c>
    </row>
    <row r="56" spans="1:17" x14ac:dyDescent="0.25">
      <c r="A56" s="30"/>
      <c r="B56" s="30"/>
      <c r="C56" s="30"/>
    </row>
    <row r="57" spans="1:17" x14ac:dyDescent="0.25">
      <c r="A57" s="27" t="s">
        <v>441</v>
      </c>
      <c r="K57" s="29" t="s">
        <v>442</v>
      </c>
      <c r="L57" s="30"/>
      <c r="M57" s="30"/>
    </row>
    <row r="58" spans="1:17" x14ac:dyDescent="0.25">
      <c r="K58" s="29" t="s">
        <v>370</v>
      </c>
      <c r="L58" s="30" t="s">
        <v>219</v>
      </c>
      <c r="M58" s="30"/>
    </row>
    <row r="59" spans="1:17" x14ac:dyDescent="0.25">
      <c r="K59" s="27" t="s">
        <v>371</v>
      </c>
      <c r="L59" s="26">
        <v>10</v>
      </c>
    </row>
    <row r="60" spans="1:17" x14ac:dyDescent="0.25">
      <c r="K60" s="27" t="s">
        <v>372</v>
      </c>
      <c r="L60" s="29" t="s">
        <v>373</v>
      </c>
      <c r="M60" s="29" t="s">
        <v>374</v>
      </c>
      <c r="N60" s="27"/>
      <c r="P60" s="27"/>
      <c r="Q60" s="27"/>
    </row>
    <row r="61" spans="1:17" x14ac:dyDescent="0.25">
      <c r="K61" s="29" t="s">
        <v>258</v>
      </c>
      <c r="L61" s="29" t="s">
        <v>375</v>
      </c>
      <c r="M61" s="27" t="s">
        <v>375</v>
      </c>
      <c r="N61" s="29" t="s">
        <v>376</v>
      </c>
      <c r="O61" s="31"/>
      <c r="P61" s="37" t="s">
        <v>373</v>
      </c>
      <c r="Q61" s="37" t="s">
        <v>423</v>
      </c>
    </row>
    <row r="62" spans="1:17" x14ac:dyDescent="0.25">
      <c r="K62" s="30" t="s">
        <v>378</v>
      </c>
      <c r="L62" s="30">
        <v>0.06</v>
      </c>
      <c r="M62" s="30">
        <v>0.06</v>
      </c>
      <c r="N62" s="30" t="s">
        <v>366</v>
      </c>
      <c r="O62" s="31" t="s">
        <v>377</v>
      </c>
      <c r="P62" s="32">
        <f>L62*L64*L65*L66*L71*L72/L70</f>
        <v>3.1151250000000003E-7</v>
      </c>
      <c r="Q62" s="32">
        <f>M62*M64*M65*M66*M71*M72/M70</f>
        <v>2.3850000000000002E-7</v>
      </c>
    </row>
    <row r="63" spans="1:17" x14ac:dyDescent="0.25">
      <c r="K63" s="30" t="s">
        <v>380</v>
      </c>
      <c r="L63" s="30">
        <v>4.2000000000000003E-2</v>
      </c>
      <c r="M63" s="30">
        <v>4.2000000000000003E-2</v>
      </c>
      <c r="N63" s="30" t="s">
        <v>366</v>
      </c>
      <c r="O63" s="31" t="s">
        <v>379</v>
      </c>
      <c r="P63" s="32">
        <f>(L63*L64*L65*L66*L67*L68*L71*L72)/(L70*L69*L73)</f>
        <v>5.9742123287671241E-9</v>
      </c>
      <c r="Q63" s="32">
        <f>(M63*M64*M65*M66*M67*M68*M71*M72)/(M70*M69*M73)</f>
        <v>4.5739726027397269E-9</v>
      </c>
    </row>
    <row r="64" spans="1:17" x14ac:dyDescent="0.25">
      <c r="A64" s="30" t="s">
        <v>424</v>
      </c>
      <c r="B64" s="30" t="s">
        <v>397</v>
      </c>
      <c r="C64" s="30" t="s">
        <v>425</v>
      </c>
      <c r="K64" s="30" t="s">
        <v>443</v>
      </c>
      <c r="L64" s="52">
        <v>7.1000000000000004E-3</v>
      </c>
      <c r="M64" s="52">
        <v>7.1000000000000004E-3</v>
      </c>
      <c r="N64" s="30" t="s">
        <v>444</v>
      </c>
      <c r="P64" s="34"/>
      <c r="Q64" s="34"/>
    </row>
    <row r="65" spans="1:17" ht="18" x14ac:dyDescent="0.25">
      <c r="A65" s="30" t="s">
        <v>428</v>
      </c>
      <c r="B65" s="30" t="s">
        <v>397</v>
      </c>
      <c r="C65" s="30" t="s">
        <v>429</v>
      </c>
      <c r="K65" s="30" t="s">
        <v>445</v>
      </c>
      <c r="L65" s="30">
        <v>19500</v>
      </c>
      <c r="M65" s="30">
        <v>15900</v>
      </c>
      <c r="N65" s="30" t="s">
        <v>446</v>
      </c>
      <c r="P65" s="34"/>
      <c r="Q65" s="34"/>
    </row>
    <row r="66" spans="1:17" x14ac:dyDescent="0.25">
      <c r="A66" s="30" t="s">
        <v>411</v>
      </c>
      <c r="B66" s="30" t="s">
        <v>397</v>
      </c>
      <c r="C66" s="30" t="s">
        <v>447</v>
      </c>
      <c r="K66" s="30" t="s">
        <v>430</v>
      </c>
      <c r="L66" s="30">
        <v>3</v>
      </c>
      <c r="M66" s="30">
        <v>2</v>
      </c>
      <c r="N66" s="30" t="s">
        <v>431</v>
      </c>
    </row>
    <row r="67" spans="1:17" x14ac:dyDescent="0.25">
      <c r="A67" s="30" t="s">
        <v>335</v>
      </c>
      <c r="B67" s="30" t="s">
        <v>397</v>
      </c>
      <c r="C67" s="30" t="s">
        <v>336</v>
      </c>
      <c r="K67" s="30" t="s">
        <v>436</v>
      </c>
      <c r="L67" s="30">
        <v>10</v>
      </c>
      <c r="M67" s="30">
        <v>10</v>
      </c>
      <c r="N67" s="30" t="s">
        <v>390</v>
      </c>
    </row>
    <row r="68" spans="1:17" ht="18" x14ac:dyDescent="0.25">
      <c r="A68" s="30" t="s">
        <v>328</v>
      </c>
      <c r="B68" s="30" t="s">
        <v>397</v>
      </c>
      <c r="C68" s="30" t="s">
        <v>448</v>
      </c>
      <c r="K68" s="30" t="s">
        <v>438</v>
      </c>
      <c r="L68" s="30">
        <v>33</v>
      </c>
      <c r="M68" s="30">
        <v>5</v>
      </c>
      <c r="N68" s="30" t="s">
        <v>392</v>
      </c>
      <c r="P68" s="34"/>
    </row>
    <row r="69" spans="1:17" x14ac:dyDescent="0.25">
      <c r="A69" s="30" t="s">
        <v>316</v>
      </c>
      <c r="B69" s="26" t="s">
        <v>397</v>
      </c>
      <c r="C69" s="30" t="s">
        <v>317</v>
      </c>
      <c r="K69" s="30" t="s">
        <v>394</v>
      </c>
      <c r="L69" s="30">
        <v>33</v>
      </c>
      <c r="M69" s="30">
        <v>5</v>
      </c>
      <c r="N69" s="30" t="s">
        <v>392</v>
      </c>
      <c r="P69" s="34"/>
    </row>
    <row r="70" spans="1:17" x14ac:dyDescent="0.25">
      <c r="A70" s="30" t="s">
        <v>299</v>
      </c>
      <c r="B70" s="30" t="s">
        <v>397</v>
      </c>
      <c r="C70" s="30" t="s">
        <v>437</v>
      </c>
      <c r="K70" s="30" t="s">
        <v>399</v>
      </c>
      <c r="L70" s="26">
        <v>80</v>
      </c>
      <c r="M70" s="26">
        <v>56.8</v>
      </c>
      <c r="N70" s="26" t="s">
        <v>400</v>
      </c>
      <c r="P70" s="34"/>
    </row>
    <row r="71" spans="1:17" x14ac:dyDescent="0.25">
      <c r="A71" s="30" t="s">
        <v>287</v>
      </c>
      <c r="B71" s="30" t="s">
        <v>397</v>
      </c>
      <c r="C71" s="30" t="s">
        <v>439</v>
      </c>
      <c r="K71" s="30" t="s">
        <v>403</v>
      </c>
      <c r="L71" s="26">
        <v>1E-3</v>
      </c>
      <c r="M71" s="26">
        <v>1E-3</v>
      </c>
      <c r="N71" s="30" t="s">
        <v>404</v>
      </c>
      <c r="P71" s="34"/>
    </row>
    <row r="72" spans="1:17" ht="18" x14ac:dyDescent="0.25">
      <c r="A72" s="30" t="s">
        <v>275</v>
      </c>
      <c r="B72" s="30" t="s">
        <v>397</v>
      </c>
      <c r="C72" s="30" t="s">
        <v>276</v>
      </c>
      <c r="K72" s="30" t="s">
        <v>407</v>
      </c>
      <c r="L72" s="26">
        <v>1E-3</v>
      </c>
      <c r="M72" s="26">
        <v>1E-3</v>
      </c>
      <c r="N72" s="26" t="s">
        <v>449</v>
      </c>
    </row>
    <row r="73" spans="1:17" x14ac:dyDescent="0.25">
      <c r="A73" s="30" t="s">
        <v>283</v>
      </c>
      <c r="B73" s="30" t="s">
        <v>397</v>
      </c>
      <c r="C73" s="30" t="s">
        <v>440</v>
      </c>
      <c r="K73" s="30" t="s">
        <v>450</v>
      </c>
      <c r="L73" s="26">
        <v>365</v>
      </c>
      <c r="M73" s="26">
        <v>365</v>
      </c>
      <c r="N73" s="26" t="s">
        <v>408</v>
      </c>
    </row>
    <row r="74" spans="1:17" x14ac:dyDescent="0.25">
      <c r="A74" s="30" t="s">
        <v>293</v>
      </c>
      <c r="B74" s="30" t="s">
        <v>397</v>
      </c>
      <c r="C74" s="30" t="s">
        <v>418</v>
      </c>
    </row>
    <row r="75" spans="1:17" ht="18" x14ac:dyDescent="0.25">
      <c r="A75" s="30" t="s">
        <v>295</v>
      </c>
      <c r="B75" s="30" t="s">
        <v>397</v>
      </c>
      <c r="C75" s="30" t="s">
        <v>451</v>
      </c>
    </row>
    <row r="76" spans="1:17" x14ac:dyDescent="0.25">
      <c r="A76" s="30" t="s">
        <v>340</v>
      </c>
      <c r="B76" s="30" t="s">
        <v>397</v>
      </c>
      <c r="C76" s="30" t="s">
        <v>419</v>
      </c>
    </row>
  </sheetData>
  <sheetProtection sheet="1" objects="1" scenarios="1" formatCells="0" formatColumns="0" formatRows="0"/>
  <mergeCells count="1">
    <mergeCell ref="A31:J3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ECB13-4F7E-484E-9142-F6E482813488}">
  <dimension ref="A1:BM102"/>
  <sheetViews>
    <sheetView zoomScale="110" zoomScaleNormal="110" workbookViewId="0">
      <selection activeCell="A2" sqref="A2"/>
    </sheetView>
  </sheetViews>
  <sheetFormatPr defaultRowHeight="15" x14ac:dyDescent="0.25"/>
  <cols>
    <col min="3" max="3" width="8.5703125" bestFit="1" customWidth="1"/>
    <col min="4" max="4" width="49.5703125" bestFit="1" customWidth="1"/>
    <col min="5" max="5" width="10" customWidth="1"/>
    <col min="6" max="6" width="11.5703125" customWidth="1"/>
    <col min="7" max="7" width="37" customWidth="1"/>
    <col min="8" max="8" width="13.5703125" style="1" bestFit="1" customWidth="1"/>
    <col min="9" max="9" width="20.42578125" style="1" customWidth="1"/>
    <col min="10" max="10" width="12" style="4" customWidth="1"/>
    <col min="11" max="11" width="17.5703125" style="1" customWidth="1"/>
    <col min="12" max="13" width="11.42578125" customWidth="1"/>
    <col min="14" max="14" width="11" customWidth="1"/>
    <col min="15" max="15" width="6.5703125" customWidth="1"/>
    <col min="16" max="17" width="9.42578125" customWidth="1"/>
    <col min="18" max="18" width="12" customWidth="1"/>
    <col min="19" max="19" width="6.42578125" customWidth="1"/>
    <col min="20" max="21" width="12" customWidth="1"/>
    <col min="22" max="22" width="10" customWidth="1"/>
    <col min="23" max="23" width="20.5703125" customWidth="1"/>
    <col min="24" max="24" width="8.5703125" customWidth="1"/>
    <col min="25" max="37" width="11" customWidth="1"/>
    <col min="38" max="38" width="8.5703125" customWidth="1"/>
    <col min="39" max="40" width="12" customWidth="1"/>
    <col min="41" max="41" width="9.5703125" customWidth="1"/>
    <col min="42" max="42" width="12" customWidth="1"/>
    <col min="43" max="43" width="9.42578125" customWidth="1"/>
    <col min="44" max="44" width="12" customWidth="1"/>
    <col min="45" max="45" width="9.5703125" customWidth="1"/>
    <col min="46" max="50" width="12" customWidth="1"/>
    <col min="51" max="51" width="17.5703125" customWidth="1"/>
    <col min="52" max="58" width="12" customWidth="1"/>
    <col min="59" max="59" width="8.5703125" customWidth="1"/>
    <col min="60" max="60" width="8.7109375" style="10"/>
    <col min="61" max="65" width="11.7109375" customWidth="1"/>
  </cols>
  <sheetData>
    <row r="1" spans="1:65" x14ac:dyDescent="0.25">
      <c r="B1" s="67" t="s">
        <v>452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8" t="s">
        <v>453</v>
      </c>
      <c r="P1" s="68"/>
      <c r="Q1" s="68"/>
      <c r="R1" s="68"/>
      <c r="S1" s="68"/>
      <c r="T1" s="68"/>
      <c r="U1" s="68"/>
      <c r="V1" s="68"/>
      <c r="W1" s="68"/>
      <c r="X1" s="68"/>
      <c r="Y1" s="69" t="s">
        <v>454</v>
      </c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9" t="s">
        <v>455</v>
      </c>
      <c r="AN1" s="9"/>
      <c r="AO1" s="9"/>
      <c r="AP1" s="9"/>
      <c r="AQ1" s="9"/>
      <c r="AR1" s="9"/>
      <c r="AS1" s="9"/>
      <c r="AT1" s="70" t="s">
        <v>456</v>
      </c>
      <c r="AU1" s="70"/>
      <c r="AV1" s="70"/>
      <c r="AW1" s="70"/>
      <c r="AX1" s="70"/>
      <c r="AY1" s="71" t="s">
        <v>457</v>
      </c>
      <c r="AZ1" s="72" t="s">
        <v>458</v>
      </c>
      <c r="BA1" s="72"/>
      <c r="BB1" s="72"/>
      <c r="BC1" s="72"/>
      <c r="BD1" s="73" t="s">
        <v>459</v>
      </c>
      <c r="BE1" s="73"/>
      <c r="BF1" s="73"/>
    </row>
    <row r="2" spans="1:65" s="2" customFormat="1" ht="60" x14ac:dyDescent="0.25">
      <c r="A2" s="2" t="s">
        <v>146</v>
      </c>
      <c r="B2" s="2" t="s">
        <v>460</v>
      </c>
      <c r="C2" s="2" t="s">
        <v>461</v>
      </c>
      <c r="D2" s="2" t="s">
        <v>462</v>
      </c>
      <c r="E2" s="2" t="s">
        <v>463</v>
      </c>
      <c r="F2" s="2" t="s">
        <v>464</v>
      </c>
      <c r="G2" s="2" t="s">
        <v>465</v>
      </c>
      <c r="H2" s="74" t="s">
        <v>466</v>
      </c>
      <c r="I2" s="74" t="s">
        <v>215</v>
      </c>
      <c r="J2" s="75" t="s">
        <v>467</v>
      </c>
      <c r="K2" s="74" t="s">
        <v>468</v>
      </c>
      <c r="L2" s="2" t="s">
        <v>469</v>
      </c>
      <c r="M2" s="2" t="s">
        <v>470</v>
      </c>
      <c r="N2" s="2" t="s">
        <v>471</v>
      </c>
      <c r="O2" s="2" t="s">
        <v>472</v>
      </c>
      <c r="P2" s="2" t="s">
        <v>473</v>
      </c>
      <c r="Q2" s="2" t="s">
        <v>474</v>
      </c>
      <c r="R2" s="2" t="s">
        <v>475</v>
      </c>
      <c r="S2" s="2" t="s">
        <v>476</v>
      </c>
      <c r="T2" s="2" t="s">
        <v>477</v>
      </c>
      <c r="U2" s="2" t="s">
        <v>478</v>
      </c>
      <c r="V2" s="2" t="s">
        <v>479</v>
      </c>
      <c r="W2" s="2" t="s">
        <v>480</v>
      </c>
      <c r="X2" s="2" t="s">
        <v>481</v>
      </c>
      <c r="Y2" s="2" t="s">
        <v>482</v>
      </c>
      <c r="Z2" s="2" t="s">
        <v>483</v>
      </c>
      <c r="AA2" s="2" t="s">
        <v>484</v>
      </c>
      <c r="AB2" s="2" t="s">
        <v>485</v>
      </c>
      <c r="AC2" s="2" t="s">
        <v>486</v>
      </c>
      <c r="AD2" s="2" t="s">
        <v>487</v>
      </c>
      <c r="AE2" s="2" t="s">
        <v>488</v>
      </c>
      <c r="AF2" s="2" t="s">
        <v>489</v>
      </c>
      <c r="AG2" s="2" t="s">
        <v>490</v>
      </c>
      <c r="AH2" s="2" t="s">
        <v>491</v>
      </c>
      <c r="AI2" s="2" t="s">
        <v>492</v>
      </c>
      <c r="AJ2" s="2" t="s">
        <v>493</v>
      </c>
      <c r="AK2" s="2" t="s">
        <v>494</v>
      </c>
      <c r="AL2" s="2" t="s">
        <v>495</v>
      </c>
      <c r="AM2" s="2" t="s">
        <v>496</v>
      </c>
      <c r="AN2" s="2" t="s">
        <v>497</v>
      </c>
      <c r="AO2" s="2" t="s">
        <v>498</v>
      </c>
      <c r="AP2" s="2" t="s">
        <v>499</v>
      </c>
      <c r="AQ2" s="2" t="s">
        <v>500</v>
      </c>
      <c r="AR2" s="2" t="s">
        <v>501</v>
      </c>
      <c r="AS2" s="2" t="s">
        <v>502</v>
      </c>
      <c r="AT2" s="2" t="s">
        <v>503</v>
      </c>
      <c r="AU2" s="2" t="s">
        <v>504</v>
      </c>
      <c r="AV2" s="2" t="s">
        <v>505</v>
      </c>
      <c r="AW2" s="2" t="s">
        <v>506</v>
      </c>
      <c r="AX2" s="2" t="s">
        <v>507</v>
      </c>
      <c r="AY2" s="2" t="s">
        <v>508</v>
      </c>
      <c r="AZ2" s="2" t="s">
        <v>509</v>
      </c>
      <c r="BA2" s="2" t="s">
        <v>510</v>
      </c>
      <c r="BB2" s="2" t="s">
        <v>511</v>
      </c>
      <c r="BC2" s="2" t="s">
        <v>512</v>
      </c>
      <c r="BD2" s="2" t="s">
        <v>513</v>
      </c>
      <c r="BE2" s="2" t="s">
        <v>514</v>
      </c>
      <c r="BF2" s="2" t="s">
        <v>515</v>
      </c>
      <c r="BG2" t="s">
        <v>516</v>
      </c>
      <c r="BH2" s="81" t="s">
        <v>192</v>
      </c>
      <c r="BI2" s="76" t="s">
        <v>517</v>
      </c>
      <c r="BJ2" s="76" t="s">
        <v>518</v>
      </c>
      <c r="BK2" s="76" t="s">
        <v>519</v>
      </c>
      <c r="BL2" s="76" t="s">
        <v>520</v>
      </c>
      <c r="BM2" s="76" t="s">
        <v>521</v>
      </c>
    </row>
    <row r="3" spans="1:65" x14ac:dyDescent="0.25">
      <c r="A3">
        <v>1</v>
      </c>
      <c r="B3" s="7">
        <v>2020</v>
      </c>
      <c r="C3" s="7" t="s">
        <v>186</v>
      </c>
      <c r="D3" s="7" t="s">
        <v>38</v>
      </c>
      <c r="E3" s="7">
        <v>30.223500000000001</v>
      </c>
      <c r="F3" s="7">
        <v>-93.286900000000003</v>
      </c>
      <c r="G3" s="7" t="s">
        <v>39</v>
      </c>
      <c r="H3" s="77">
        <v>110000494894</v>
      </c>
      <c r="I3" s="77" t="s">
        <v>187</v>
      </c>
      <c r="J3" s="78">
        <v>64273.493860000002</v>
      </c>
      <c r="K3" s="77">
        <v>8080206001241</v>
      </c>
      <c r="L3" s="7" t="s">
        <v>522</v>
      </c>
      <c r="M3" s="7" t="s">
        <v>523</v>
      </c>
      <c r="N3" s="7" t="s">
        <v>524</v>
      </c>
      <c r="O3" s="7">
        <v>0</v>
      </c>
      <c r="P3" s="7" t="s">
        <v>196</v>
      </c>
      <c r="Q3" s="7" t="s">
        <v>196</v>
      </c>
      <c r="R3" s="7" t="s">
        <v>196</v>
      </c>
      <c r="S3" s="7" t="s">
        <v>193</v>
      </c>
      <c r="T3" s="7" t="s">
        <v>196</v>
      </c>
      <c r="U3" s="7" t="s">
        <v>196</v>
      </c>
      <c r="V3" s="7">
        <v>3710376</v>
      </c>
      <c r="W3" s="7" t="s">
        <v>196</v>
      </c>
      <c r="X3" s="7">
        <v>1</v>
      </c>
      <c r="Y3" s="7">
        <v>11.946999999999999</v>
      </c>
      <c r="Z3" s="7">
        <v>21.873999999999999</v>
      </c>
      <c r="AA3" s="7">
        <v>18.379000000000001</v>
      </c>
      <c r="AB3" s="7">
        <v>14.122</v>
      </c>
      <c r="AC3" s="7">
        <v>11.906000000000001</v>
      </c>
      <c r="AD3" s="7">
        <v>11.329000000000001</v>
      </c>
      <c r="AE3" s="7">
        <v>8.3970000000000002</v>
      </c>
      <c r="AF3" s="7">
        <v>3.5259999999999998</v>
      </c>
      <c r="AG3" s="7">
        <v>2.9</v>
      </c>
      <c r="AH3" s="7">
        <v>5.0949999999999998</v>
      </c>
      <c r="AI3" s="7">
        <v>14.387</v>
      </c>
      <c r="AJ3" s="7">
        <v>31.71</v>
      </c>
      <c r="AK3" s="7">
        <v>18.297999999999998</v>
      </c>
      <c r="AL3" s="7" t="s">
        <v>490</v>
      </c>
      <c r="AM3" s="7">
        <v>-1</v>
      </c>
      <c r="AN3" s="7">
        <v>7.0904645476772599</v>
      </c>
      <c r="AO3" s="7" t="s">
        <v>525</v>
      </c>
      <c r="AP3" s="7">
        <v>12.4645454926327</v>
      </c>
      <c r="AQ3" s="7" t="s">
        <v>526</v>
      </c>
      <c r="AR3" s="7">
        <v>4.0477291899961401</v>
      </c>
      <c r="AS3" s="7" t="s">
        <v>218</v>
      </c>
      <c r="AT3" s="79">
        <v>64273493860000</v>
      </c>
      <c r="AU3" s="79">
        <v>2200373.23083117</v>
      </c>
      <c r="AV3" s="79">
        <v>5156505.2169764005</v>
      </c>
      <c r="AW3" s="79">
        <v>15878901.6861233</v>
      </c>
      <c r="AX3" s="79">
        <v>9064778.9616344795</v>
      </c>
      <c r="AY3" s="79">
        <f t="shared" ref="AY3:AY66" si="0">AW3/21</f>
        <v>756138.17552968091</v>
      </c>
      <c r="AZ3" s="79">
        <v>73345.774361039003</v>
      </c>
      <c r="BA3" s="79">
        <v>171883.50723254701</v>
      </c>
      <c r="BB3" s="79">
        <v>529296.72287077503</v>
      </c>
      <c r="BC3" s="79">
        <v>302159.29872114898</v>
      </c>
      <c r="BD3" s="79">
        <v>8801.4929233246803</v>
      </c>
      <c r="BE3" s="79">
        <v>20626.020867905601</v>
      </c>
      <c r="BF3" s="79">
        <v>63515.606744493001</v>
      </c>
      <c r="BG3" s="7" t="s">
        <v>527</v>
      </c>
      <c r="BH3" s="80" t="s">
        <v>196</v>
      </c>
      <c r="BI3" s="10" t="e">
        <f t="shared" ref="BI3:BI66" si="1">BE3*BH3</f>
        <v>#VALUE!</v>
      </c>
      <c r="BJ3" s="10"/>
      <c r="BK3" s="10"/>
      <c r="BL3" s="10"/>
      <c r="BM3" s="10"/>
    </row>
    <row r="4" spans="1:65" x14ac:dyDescent="0.25">
      <c r="A4">
        <v>2</v>
      </c>
      <c r="B4" s="7">
        <v>2016</v>
      </c>
      <c r="C4" s="7" t="s">
        <v>186</v>
      </c>
      <c r="D4" s="7" t="s">
        <v>38</v>
      </c>
      <c r="E4" s="7">
        <v>30.223500000000001</v>
      </c>
      <c r="F4" s="7">
        <v>-93.286900000000003</v>
      </c>
      <c r="G4" s="7" t="s">
        <v>39</v>
      </c>
      <c r="H4" s="77">
        <v>110000494894</v>
      </c>
      <c r="I4" s="77" t="s">
        <v>187</v>
      </c>
      <c r="J4" s="78">
        <v>4849.6683048499999</v>
      </c>
      <c r="K4" s="77">
        <v>8080206001241</v>
      </c>
      <c r="L4" s="7" t="s">
        <v>522</v>
      </c>
      <c r="M4" s="7" t="s">
        <v>523</v>
      </c>
      <c r="N4" s="7" t="s">
        <v>524</v>
      </c>
      <c r="O4" s="7">
        <v>0</v>
      </c>
      <c r="P4" s="7" t="s">
        <v>196</v>
      </c>
      <c r="Q4" s="7" t="s">
        <v>196</v>
      </c>
      <c r="R4" s="7" t="s">
        <v>196</v>
      </c>
      <c r="S4" s="7" t="s">
        <v>193</v>
      </c>
      <c r="T4" s="7" t="s">
        <v>196</v>
      </c>
      <c r="U4" s="7" t="s">
        <v>196</v>
      </c>
      <c r="V4" s="7">
        <v>3710376</v>
      </c>
      <c r="W4" s="7" t="s">
        <v>196</v>
      </c>
      <c r="X4" s="7">
        <v>1</v>
      </c>
      <c r="Y4" s="7">
        <v>11.946999999999999</v>
      </c>
      <c r="Z4" s="7">
        <v>21.873999999999999</v>
      </c>
      <c r="AA4" s="7">
        <v>18.379000000000001</v>
      </c>
      <c r="AB4" s="7">
        <v>14.122</v>
      </c>
      <c r="AC4" s="7">
        <v>11.906000000000001</v>
      </c>
      <c r="AD4" s="7">
        <v>11.329000000000001</v>
      </c>
      <c r="AE4" s="7">
        <v>8.3970000000000002</v>
      </c>
      <c r="AF4" s="7">
        <v>3.5259999999999998</v>
      </c>
      <c r="AG4" s="7">
        <v>2.9</v>
      </c>
      <c r="AH4" s="7">
        <v>5.0949999999999998</v>
      </c>
      <c r="AI4" s="7">
        <v>14.387</v>
      </c>
      <c r="AJ4" s="7">
        <v>31.71</v>
      </c>
      <c r="AK4" s="7">
        <v>18.297999999999998</v>
      </c>
      <c r="AL4" s="7" t="s">
        <v>490</v>
      </c>
      <c r="AM4" s="7">
        <v>-1</v>
      </c>
      <c r="AN4" s="7">
        <v>7.0904645476772599</v>
      </c>
      <c r="AO4" s="7" t="s">
        <v>525</v>
      </c>
      <c r="AP4" s="7">
        <v>12.4645454926327</v>
      </c>
      <c r="AQ4" s="7" t="s">
        <v>526</v>
      </c>
      <c r="AR4" s="7">
        <v>4.0477291899961401</v>
      </c>
      <c r="AS4" s="7" t="s">
        <v>218</v>
      </c>
      <c r="AT4" s="79">
        <f>AT3*($J$4/$J$3)</f>
        <v>4849668304850</v>
      </c>
      <c r="AU4" s="79">
        <f>AU3*($J$4/$J$3)</f>
        <v>166026.14352420263</v>
      </c>
      <c r="AV4" s="79">
        <f>AV3*($J$4/$J$3)</f>
        <v>389077.02713399869</v>
      </c>
      <c r="AW4" s="79">
        <f>AW3*($J$4/$J$3)</f>
        <v>1198120.7430664699</v>
      </c>
      <c r="AX4" s="79">
        <f>AX3*($J$4/$J$3)</f>
        <v>683970.46092539618</v>
      </c>
      <c r="AY4" s="79">
        <f t="shared" si="0"/>
        <v>57053.368717450947</v>
      </c>
      <c r="AZ4" s="79">
        <f t="shared" ref="AZ4:BF4" si="2">AZ3*($J$4/$J$3)</f>
        <v>5534.2047841400881</v>
      </c>
      <c r="BA4" s="79">
        <f t="shared" si="2"/>
        <v>12969.234237799981</v>
      </c>
      <c r="BB4" s="79">
        <f t="shared" si="2"/>
        <v>39937.358102215534</v>
      </c>
      <c r="BC4" s="79">
        <f t="shared" si="2"/>
        <v>22799.01536417985</v>
      </c>
      <c r="BD4" s="79">
        <f t="shared" si="2"/>
        <v>664.10457409681055</v>
      </c>
      <c r="BE4" s="79">
        <f t="shared" si="2"/>
        <v>1556.3081085359947</v>
      </c>
      <c r="BF4" s="79">
        <f t="shared" si="2"/>
        <v>4792.4829722658642</v>
      </c>
      <c r="BG4" s="7" t="s">
        <v>528</v>
      </c>
      <c r="BH4" s="80" t="s">
        <v>196</v>
      </c>
      <c r="BI4" s="10" t="e">
        <f t="shared" si="1"/>
        <v>#VALUE!</v>
      </c>
      <c r="BJ4" s="10"/>
      <c r="BK4" s="10"/>
      <c r="BL4" s="10"/>
      <c r="BM4" s="10"/>
    </row>
    <row r="5" spans="1:65" x14ac:dyDescent="0.25">
      <c r="A5">
        <v>3</v>
      </c>
      <c r="B5">
        <v>2018</v>
      </c>
      <c r="C5" t="s">
        <v>186</v>
      </c>
      <c r="D5" t="s">
        <v>29</v>
      </c>
      <c r="E5">
        <v>37.051110999999999</v>
      </c>
      <c r="F5">
        <v>-88.334166999999994</v>
      </c>
      <c r="G5" t="s">
        <v>30</v>
      </c>
      <c r="H5" s="1">
        <v>110027373072</v>
      </c>
      <c r="I5" s="6" t="s">
        <v>187</v>
      </c>
      <c r="J5" s="4">
        <v>1190.070205</v>
      </c>
      <c r="K5" s="1">
        <v>6040006000172</v>
      </c>
      <c r="L5" t="s">
        <v>28</v>
      </c>
      <c r="O5">
        <v>0</v>
      </c>
      <c r="P5" t="s">
        <v>196</v>
      </c>
      <c r="Q5" t="s">
        <v>196</v>
      </c>
      <c r="R5" t="s">
        <v>196</v>
      </c>
      <c r="S5" t="s">
        <v>193</v>
      </c>
      <c r="T5" t="s">
        <v>196</v>
      </c>
      <c r="U5" t="s">
        <v>196</v>
      </c>
      <c r="V5">
        <v>936040016</v>
      </c>
      <c r="W5" t="s">
        <v>529</v>
      </c>
      <c r="X5">
        <v>8</v>
      </c>
      <c r="Y5">
        <v>69217.527000000002</v>
      </c>
      <c r="Z5">
        <v>110868.92</v>
      </c>
      <c r="AA5">
        <v>105841.192</v>
      </c>
      <c r="AB5">
        <v>112213.094</v>
      </c>
      <c r="AC5">
        <v>75050.937000000005</v>
      </c>
      <c r="AD5">
        <v>63446.044000000002</v>
      </c>
      <c r="AE5">
        <v>52434.012000000002</v>
      </c>
      <c r="AF5">
        <v>44821.2</v>
      </c>
      <c r="AG5">
        <v>40979.629000000001</v>
      </c>
      <c r="AH5">
        <v>36760.911999999997</v>
      </c>
      <c r="AI5">
        <v>40487.464</v>
      </c>
      <c r="AJ5">
        <v>54150.502</v>
      </c>
      <c r="AK5">
        <v>91842.706999999995</v>
      </c>
      <c r="AL5" t="s">
        <v>491</v>
      </c>
      <c r="AM5">
        <v>-1</v>
      </c>
      <c r="AN5">
        <v>89879.980440097803</v>
      </c>
      <c r="AO5" t="s">
        <v>525</v>
      </c>
      <c r="AP5">
        <v>166007.39835008301</v>
      </c>
      <c r="AQ5" t="s">
        <v>526</v>
      </c>
      <c r="AR5">
        <v>71552.516990035496</v>
      </c>
      <c r="AS5" t="s">
        <v>218</v>
      </c>
      <c r="AT5" s="10">
        <v>1190070205000</v>
      </c>
      <c r="AU5" s="10">
        <v>7.0320153715546603</v>
      </c>
      <c r="AV5" s="10">
        <v>7.1687781196976301</v>
      </c>
      <c r="AW5" s="10">
        <v>16.632122181889599</v>
      </c>
      <c r="AX5" s="10">
        <v>13.240659367890499</v>
      </c>
      <c r="AY5" s="10">
        <f t="shared" si="0"/>
        <v>0.79200581818521898</v>
      </c>
      <c r="AZ5" s="10">
        <v>0.234400512385155</v>
      </c>
      <c r="BA5" s="10">
        <v>0.23895927065658801</v>
      </c>
      <c r="BB5" s="10">
        <v>0.55440407272965297</v>
      </c>
      <c r="BC5" s="10">
        <v>0.441355312263018</v>
      </c>
      <c r="BD5" s="10">
        <v>2.81280614862187E-2</v>
      </c>
      <c r="BE5" s="10">
        <v>2.8675112478790499E-2</v>
      </c>
      <c r="BF5" s="10">
        <v>6.6528488727558302E-2</v>
      </c>
      <c r="BH5" s="10">
        <v>0.225975038940952</v>
      </c>
      <c r="BI5" s="10">
        <f>BE5*BH5</f>
        <v>6.4798596590308621E-3</v>
      </c>
      <c r="BJ5" s="10"/>
      <c r="BK5" s="10"/>
      <c r="BL5" s="10"/>
      <c r="BM5" s="10"/>
    </row>
    <row r="6" spans="1:65" x14ac:dyDescent="0.25">
      <c r="A6">
        <v>4</v>
      </c>
      <c r="B6">
        <v>2017</v>
      </c>
      <c r="C6" t="s">
        <v>186</v>
      </c>
      <c r="D6" t="s">
        <v>107</v>
      </c>
      <c r="E6">
        <v>29.721309999999999</v>
      </c>
      <c r="F6">
        <v>-95.220079999999996</v>
      </c>
      <c r="H6" s="1">
        <v>110001869899</v>
      </c>
      <c r="I6" s="6" t="s">
        <v>3</v>
      </c>
      <c r="J6" s="4">
        <v>1118.530612</v>
      </c>
      <c r="K6" s="1">
        <v>12040104000891</v>
      </c>
      <c r="L6" t="s">
        <v>106</v>
      </c>
      <c r="O6">
        <v>0</v>
      </c>
      <c r="P6" t="s">
        <v>196</v>
      </c>
      <c r="Q6" t="s">
        <v>196</v>
      </c>
      <c r="R6" t="s">
        <v>196</v>
      </c>
      <c r="S6" t="s">
        <v>193</v>
      </c>
      <c r="T6" t="s">
        <v>196</v>
      </c>
      <c r="U6" t="s">
        <v>196</v>
      </c>
      <c r="V6">
        <v>1440531</v>
      </c>
      <c r="W6" t="s">
        <v>530</v>
      </c>
      <c r="X6">
        <v>4</v>
      </c>
      <c r="Y6">
        <v>959.87800000000004</v>
      </c>
      <c r="Z6">
        <v>1160.201</v>
      </c>
      <c r="AA6">
        <v>1034.943</v>
      </c>
      <c r="AB6">
        <v>948.16099999999994</v>
      </c>
      <c r="AC6">
        <v>989.85</v>
      </c>
      <c r="AD6">
        <v>1046.2550000000001</v>
      </c>
      <c r="AE6">
        <v>1381.7270000000001</v>
      </c>
      <c r="AF6">
        <v>718.06600000000003</v>
      </c>
      <c r="AG6">
        <v>758.28399999999999</v>
      </c>
      <c r="AH6">
        <v>1018.468</v>
      </c>
      <c r="AI6">
        <v>962.64700000000005</v>
      </c>
      <c r="AJ6">
        <v>1230.0530000000001</v>
      </c>
      <c r="AK6">
        <v>979.81899999999996</v>
      </c>
      <c r="AL6" t="s">
        <v>489</v>
      </c>
      <c r="AM6">
        <v>-1</v>
      </c>
      <c r="AN6">
        <v>1755.66259168704</v>
      </c>
      <c r="AO6" t="s">
        <v>525</v>
      </c>
      <c r="AP6">
        <v>2315.21891708364</v>
      </c>
      <c r="AQ6" t="s">
        <v>526</v>
      </c>
      <c r="AR6">
        <v>1216.8537658958301</v>
      </c>
      <c r="AS6" t="s">
        <v>218</v>
      </c>
      <c r="AT6" s="10">
        <v>1118530612000</v>
      </c>
      <c r="AU6" s="10">
        <v>476.60121422514101</v>
      </c>
      <c r="AV6" s="10">
        <v>483.120884917853</v>
      </c>
      <c r="AW6" s="10">
        <v>919.19887446504504</v>
      </c>
      <c r="AX6" s="10">
        <v>637.09884649600497</v>
      </c>
      <c r="AY6" s="10">
        <f t="shared" si="0"/>
        <v>43.771374974525955</v>
      </c>
      <c r="AZ6" s="10">
        <v>15.886707140838</v>
      </c>
      <c r="BA6" s="10">
        <v>16.104029497261799</v>
      </c>
      <c r="BB6" s="10">
        <v>30.639962482168201</v>
      </c>
      <c r="BC6" s="10">
        <v>21.2366282165335</v>
      </c>
      <c r="BD6" s="10">
        <v>1.9064048569005601</v>
      </c>
      <c r="BE6" s="10">
        <v>1.93248353967141</v>
      </c>
      <c r="BF6" s="10">
        <v>3.67679549786018</v>
      </c>
      <c r="BH6" s="10" t="s">
        <v>196</v>
      </c>
      <c r="BI6" s="10" t="e">
        <f t="shared" si="1"/>
        <v>#VALUE!</v>
      </c>
      <c r="BJ6" s="10"/>
      <c r="BK6" s="10"/>
      <c r="BL6" s="10"/>
      <c r="BM6" s="10"/>
    </row>
    <row r="7" spans="1:65" x14ac:dyDescent="0.25">
      <c r="A7">
        <v>5</v>
      </c>
      <c r="B7">
        <v>2015</v>
      </c>
      <c r="C7" t="s">
        <v>186</v>
      </c>
      <c r="D7" t="s">
        <v>1</v>
      </c>
      <c r="E7">
        <v>33.2044</v>
      </c>
      <c r="F7">
        <v>-92.630799999999994</v>
      </c>
      <c r="G7" t="s">
        <v>2</v>
      </c>
      <c r="H7" s="1">
        <v>110000521221</v>
      </c>
      <c r="I7" s="6" t="s">
        <v>531</v>
      </c>
      <c r="J7" s="4">
        <v>358.44400789999997</v>
      </c>
      <c r="K7" s="1">
        <v>8040202000533</v>
      </c>
      <c r="L7" t="s">
        <v>532</v>
      </c>
      <c r="M7" t="s">
        <v>0</v>
      </c>
      <c r="N7" t="s">
        <v>533</v>
      </c>
      <c r="O7">
        <v>0</v>
      </c>
      <c r="P7" t="s">
        <v>196</v>
      </c>
      <c r="Q7" t="s">
        <v>196</v>
      </c>
      <c r="R7" t="s">
        <v>196</v>
      </c>
      <c r="S7" t="s">
        <v>193</v>
      </c>
      <c r="T7" t="s">
        <v>196</v>
      </c>
      <c r="U7" t="s">
        <v>196</v>
      </c>
      <c r="V7">
        <v>17914653</v>
      </c>
      <c r="W7" t="s">
        <v>196</v>
      </c>
      <c r="X7">
        <v>1</v>
      </c>
      <c r="Y7">
        <v>1.377</v>
      </c>
      <c r="Z7">
        <v>2.0019999999999998</v>
      </c>
      <c r="AA7">
        <v>2.2090000000000001</v>
      </c>
      <c r="AB7">
        <v>2.2210000000000001</v>
      </c>
      <c r="AC7">
        <v>2.258</v>
      </c>
      <c r="AD7">
        <v>1.6319999999999999</v>
      </c>
      <c r="AE7">
        <v>0.89200000000000002</v>
      </c>
      <c r="AF7">
        <v>0.26200000000000001</v>
      </c>
      <c r="AG7">
        <v>0.20899999999999999</v>
      </c>
      <c r="AH7">
        <v>0.37</v>
      </c>
      <c r="AI7">
        <v>1.724</v>
      </c>
      <c r="AJ7">
        <v>2.2890000000000001</v>
      </c>
      <c r="AK7">
        <v>1.84</v>
      </c>
      <c r="AL7" t="s">
        <v>490</v>
      </c>
      <c r="AM7">
        <v>-1</v>
      </c>
      <c r="AN7">
        <v>0.51100244498777503</v>
      </c>
      <c r="AO7" t="s">
        <v>525</v>
      </c>
      <c r="AP7">
        <v>0.99800198630223202</v>
      </c>
      <c r="AQ7" t="s">
        <v>526</v>
      </c>
      <c r="AR7">
        <v>0.26592090286772202</v>
      </c>
      <c r="AS7" t="s">
        <v>218</v>
      </c>
      <c r="AT7" s="10">
        <v>358444007900</v>
      </c>
      <c r="AU7" s="10">
        <v>106465.939891866</v>
      </c>
      <c r="AV7" s="10">
        <v>359161.61773194099</v>
      </c>
      <c r="AW7" s="10">
        <v>1347934.68296211</v>
      </c>
      <c r="AX7" s="10">
        <v>701452.62789999996</v>
      </c>
      <c r="AY7" s="10">
        <f t="shared" si="0"/>
        <v>64187.365855338576</v>
      </c>
      <c r="AZ7" s="10">
        <v>3548.8646630622102</v>
      </c>
      <c r="BA7" s="10">
        <v>11972.053924398</v>
      </c>
      <c r="BB7" s="10">
        <v>44931.156098736799</v>
      </c>
      <c r="BC7" s="10">
        <v>23381.7542633333</v>
      </c>
      <c r="BD7" s="10">
        <v>425.86375956746502</v>
      </c>
      <c r="BE7" s="10">
        <v>1436.64647092776</v>
      </c>
      <c r="BF7" s="10">
        <v>5391.7387318484198</v>
      </c>
      <c r="BH7" s="10">
        <v>6.3114379756610401E-5</v>
      </c>
      <c r="BI7" s="10">
        <f t="shared" si="1"/>
        <v>9.0673050942128783E-2</v>
      </c>
      <c r="BJ7" s="10"/>
      <c r="BK7" s="10"/>
      <c r="BL7" s="10"/>
      <c r="BM7" s="10"/>
    </row>
    <row r="8" spans="1:65" x14ac:dyDescent="0.25">
      <c r="A8">
        <v>6</v>
      </c>
      <c r="B8">
        <v>2018</v>
      </c>
      <c r="C8" t="s">
        <v>194</v>
      </c>
      <c r="D8" t="s">
        <v>534</v>
      </c>
      <c r="E8">
        <v>36.194099999999999</v>
      </c>
      <c r="F8">
        <v>-95.811700000000002</v>
      </c>
      <c r="G8" t="s">
        <v>535</v>
      </c>
      <c r="H8" s="1">
        <v>110001988877</v>
      </c>
      <c r="I8" s="6" t="s">
        <v>531</v>
      </c>
      <c r="J8" s="4">
        <v>226.79618500000001</v>
      </c>
      <c r="K8" s="1">
        <v>11070107000574</v>
      </c>
      <c r="L8" t="s">
        <v>536</v>
      </c>
      <c r="O8">
        <v>2019</v>
      </c>
      <c r="P8" t="s">
        <v>196</v>
      </c>
      <c r="Q8">
        <v>0</v>
      </c>
      <c r="R8">
        <v>0.33100000000000002</v>
      </c>
      <c r="S8" t="s">
        <v>193</v>
      </c>
      <c r="T8">
        <v>0</v>
      </c>
      <c r="U8">
        <v>0</v>
      </c>
      <c r="V8">
        <v>847342</v>
      </c>
      <c r="W8" t="s">
        <v>196</v>
      </c>
      <c r="X8">
        <v>1</v>
      </c>
      <c r="Y8">
        <v>4.165</v>
      </c>
      <c r="Z8">
        <v>0.77600000000000002</v>
      </c>
      <c r="AA8">
        <v>12.237</v>
      </c>
      <c r="AB8">
        <v>8.8260000000000005</v>
      </c>
      <c r="AC8">
        <v>9.8719999999999999</v>
      </c>
      <c r="AD8">
        <v>8.8209999999999997</v>
      </c>
      <c r="AE8">
        <v>5.734</v>
      </c>
      <c r="AF8">
        <v>1.778</v>
      </c>
      <c r="AG8">
        <v>0.96899999999999997</v>
      </c>
      <c r="AH8">
        <v>1.488</v>
      </c>
      <c r="AI8">
        <v>1.9019999999999999</v>
      </c>
      <c r="AJ8">
        <v>1.2150000000000001</v>
      </c>
      <c r="AK8">
        <v>11.603999999999999</v>
      </c>
      <c r="AL8" t="s">
        <v>483</v>
      </c>
      <c r="AM8">
        <v>0</v>
      </c>
      <c r="AN8">
        <v>1.89731051344743</v>
      </c>
      <c r="AO8" t="s">
        <v>525</v>
      </c>
      <c r="AP8">
        <v>3.5648911084059098</v>
      </c>
      <c r="AQ8" t="s">
        <v>526</v>
      </c>
      <c r="AR8">
        <v>1.0340032293042201</v>
      </c>
      <c r="AS8" t="s">
        <v>218</v>
      </c>
      <c r="AT8" s="10">
        <v>226796185000</v>
      </c>
      <c r="AU8" s="10">
        <v>22271.222008403402</v>
      </c>
      <c r="AV8" s="10">
        <v>63619.386428163598</v>
      </c>
      <c r="AW8" s="10">
        <v>219337.98519431101</v>
      </c>
      <c r="AX8" s="10">
        <v>119535.61812499999</v>
      </c>
      <c r="AY8" s="10">
        <f t="shared" si="0"/>
        <v>10444.665961633858</v>
      </c>
      <c r="AZ8" s="10">
        <v>742.37406694677895</v>
      </c>
      <c r="BA8" s="10">
        <v>2120.6462142721198</v>
      </c>
      <c r="BB8" s="10">
        <v>7311.2661731437001</v>
      </c>
      <c r="BC8" s="10">
        <v>3984.5206041666702</v>
      </c>
      <c r="BD8" s="10">
        <v>89.084888033613495</v>
      </c>
      <c r="BE8" s="10">
        <v>254.477545712655</v>
      </c>
      <c r="BF8" s="10">
        <v>877.35194077724498</v>
      </c>
      <c r="BH8" s="10">
        <v>0.16964685756181</v>
      </c>
      <c r="BI8" s="10">
        <f t="shared" si="1"/>
        <v>43.171315950193772</v>
      </c>
      <c r="BJ8" s="10"/>
      <c r="BK8" s="10"/>
      <c r="BL8" s="10"/>
      <c r="BM8" s="10"/>
    </row>
    <row r="9" spans="1:65" x14ac:dyDescent="0.25">
      <c r="A9">
        <v>7</v>
      </c>
      <c r="B9">
        <v>2015</v>
      </c>
      <c r="C9" t="s">
        <v>194</v>
      </c>
      <c r="D9" t="s">
        <v>537</v>
      </c>
      <c r="E9">
        <v>33.109833000000002</v>
      </c>
      <c r="F9">
        <v>-92.678805999999994</v>
      </c>
      <c r="G9" t="s">
        <v>538</v>
      </c>
      <c r="H9" s="1">
        <v>110000451038</v>
      </c>
      <c r="I9" s="6" t="s">
        <v>188</v>
      </c>
      <c r="J9" s="4">
        <v>226.79618500000001</v>
      </c>
      <c r="K9" s="1">
        <v>8040206001364</v>
      </c>
      <c r="L9" t="s">
        <v>539</v>
      </c>
      <c r="M9" t="s">
        <v>197</v>
      </c>
      <c r="N9" t="s">
        <v>540</v>
      </c>
      <c r="O9">
        <v>2019</v>
      </c>
      <c r="P9" t="s">
        <v>196</v>
      </c>
      <c r="Q9">
        <v>1.284</v>
      </c>
      <c r="R9">
        <v>2.70277777777778E-2</v>
      </c>
      <c r="S9" t="s">
        <v>193</v>
      </c>
      <c r="T9">
        <v>1.284</v>
      </c>
      <c r="U9">
        <v>1.98664332</v>
      </c>
      <c r="V9">
        <v>15219726</v>
      </c>
      <c r="W9" t="s">
        <v>196</v>
      </c>
      <c r="X9">
        <v>1</v>
      </c>
      <c r="Y9">
        <v>2.8570000000000002</v>
      </c>
      <c r="Z9">
        <v>4.3</v>
      </c>
      <c r="AA9">
        <v>4.6520000000000001</v>
      </c>
      <c r="AB9">
        <v>4.6740000000000004</v>
      </c>
      <c r="AC9">
        <v>4.6879999999999997</v>
      </c>
      <c r="AD9">
        <v>3.371</v>
      </c>
      <c r="AE9">
        <v>1.865</v>
      </c>
      <c r="AF9">
        <v>0.60199999999999998</v>
      </c>
      <c r="AG9">
        <v>0.48</v>
      </c>
      <c r="AH9">
        <v>0.80400000000000005</v>
      </c>
      <c r="AI9">
        <v>3.1360000000000001</v>
      </c>
      <c r="AJ9">
        <v>3.8149999999999999</v>
      </c>
      <c r="AK9">
        <v>3.758</v>
      </c>
      <c r="AL9" t="s">
        <v>490</v>
      </c>
      <c r="AM9">
        <v>4.8573186308068497</v>
      </c>
      <c r="AN9">
        <v>4.8573186308068497</v>
      </c>
      <c r="AO9" t="s">
        <v>217</v>
      </c>
      <c r="AP9">
        <v>4.8573186308068497</v>
      </c>
      <c r="AQ9" t="s">
        <v>217</v>
      </c>
      <c r="AR9">
        <v>4.8573186308068497</v>
      </c>
      <c r="AS9" t="s">
        <v>217</v>
      </c>
      <c r="AT9" s="10">
        <v>226796185000</v>
      </c>
      <c r="AU9" s="10">
        <v>32467.4972576129</v>
      </c>
      <c r="AV9" s="10">
        <v>46691.642496248402</v>
      </c>
      <c r="AW9" s="10">
        <v>46691.642496248402</v>
      </c>
      <c r="AX9" s="10">
        <v>46691.642496248402</v>
      </c>
      <c r="AY9" s="10">
        <f t="shared" si="0"/>
        <v>2223.4115474404002</v>
      </c>
      <c r="AZ9" s="10">
        <v>1082.2499085871</v>
      </c>
      <c r="BA9" s="10">
        <v>1556.38808320828</v>
      </c>
      <c r="BB9" s="10">
        <v>1556.38808320828</v>
      </c>
      <c r="BC9" s="10">
        <v>1556.38808320828</v>
      </c>
      <c r="BD9" s="10">
        <v>129.86998903045199</v>
      </c>
      <c r="BE9" s="10">
        <v>186.76656998499399</v>
      </c>
      <c r="BF9" s="10">
        <v>186.76656998499399</v>
      </c>
      <c r="BH9" s="10">
        <v>1.3094973345289501E-4</v>
      </c>
      <c r="BI9" s="10">
        <f t="shared" si="1"/>
        <v>2.4457032557446426E-2</v>
      </c>
      <c r="BJ9" s="10"/>
      <c r="BK9" s="10"/>
      <c r="BL9" s="10"/>
      <c r="BM9" s="10"/>
    </row>
    <row r="10" spans="1:65" x14ac:dyDescent="0.25">
      <c r="A10">
        <v>8</v>
      </c>
      <c r="B10">
        <v>2015</v>
      </c>
      <c r="C10" t="s">
        <v>194</v>
      </c>
      <c r="D10" t="s">
        <v>541</v>
      </c>
      <c r="E10">
        <v>31.485279999999999</v>
      </c>
      <c r="F10">
        <v>-82.862380000000002</v>
      </c>
      <c r="G10" t="s">
        <v>542</v>
      </c>
      <c r="H10" s="1">
        <v>110000360644</v>
      </c>
      <c r="I10" s="6" t="s">
        <v>188</v>
      </c>
      <c r="J10" s="4">
        <v>226.79618500000001</v>
      </c>
      <c r="K10" s="1">
        <v>3070201001251</v>
      </c>
      <c r="L10" t="s">
        <v>543</v>
      </c>
      <c r="O10">
        <v>2019</v>
      </c>
      <c r="P10" t="s">
        <v>196</v>
      </c>
      <c r="Q10" t="s">
        <v>196</v>
      </c>
      <c r="R10" t="s">
        <v>196</v>
      </c>
      <c r="S10" t="s">
        <v>193</v>
      </c>
      <c r="T10" t="s">
        <v>196</v>
      </c>
      <c r="U10" t="s">
        <v>196</v>
      </c>
      <c r="V10">
        <v>6397009</v>
      </c>
      <c r="W10" t="s">
        <v>196</v>
      </c>
      <c r="X10">
        <v>1</v>
      </c>
      <c r="Y10">
        <v>4.96</v>
      </c>
      <c r="Z10">
        <v>14.728</v>
      </c>
      <c r="AA10">
        <v>13.920999999999999</v>
      </c>
      <c r="AB10">
        <v>14.917</v>
      </c>
      <c r="AC10">
        <v>7.3380000000000001</v>
      </c>
      <c r="AD10">
        <v>2.13</v>
      </c>
      <c r="AE10">
        <v>3.1970000000000001</v>
      </c>
      <c r="AF10">
        <v>2.8420000000000001</v>
      </c>
      <c r="AG10">
        <v>2.9039999999999999</v>
      </c>
      <c r="AH10">
        <v>1.42</v>
      </c>
      <c r="AI10">
        <v>1.2010000000000001</v>
      </c>
      <c r="AJ10">
        <v>1.327</v>
      </c>
      <c r="AK10">
        <v>5.8239999999999998</v>
      </c>
      <c r="AL10" t="s">
        <v>492</v>
      </c>
      <c r="AM10">
        <v>-1</v>
      </c>
      <c r="AN10">
        <v>2.9364303178484099</v>
      </c>
      <c r="AO10" t="s">
        <v>525</v>
      </c>
      <c r="AP10">
        <v>4.9695933980273201</v>
      </c>
      <c r="AQ10" t="s">
        <v>526</v>
      </c>
      <c r="AR10">
        <v>1.62509952185221</v>
      </c>
      <c r="AS10" t="s">
        <v>218</v>
      </c>
      <c r="AT10" s="10">
        <v>226796185000</v>
      </c>
      <c r="AU10" s="10">
        <v>18701.540255040301</v>
      </c>
      <c r="AV10" s="10">
        <v>45636.768812922703</v>
      </c>
      <c r="AW10" s="10">
        <v>139558.33593594801</v>
      </c>
      <c r="AX10" s="10">
        <v>77235.336940049907</v>
      </c>
      <c r="AY10" s="10">
        <f t="shared" si="0"/>
        <v>6645.6350445689532</v>
      </c>
      <c r="AZ10" s="10">
        <v>623.38467516801097</v>
      </c>
      <c r="BA10" s="10">
        <v>1521.2256270974201</v>
      </c>
      <c r="BB10" s="10">
        <v>4651.9445311982699</v>
      </c>
      <c r="BC10" s="10">
        <v>2574.511231335</v>
      </c>
      <c r="BD10" s="10">
        <v>74.806161020161298</v>
      </c>
      <c r="BE10" s="10">
        <v>182.54707525169101</v>
      </c>
      <c r="BF10" s="10">
        <v>558.23334374379294</v>
      </c>
      <c r="BH10" s="10" t="s">
        <v>196</v>
      </c>
      <c r="BI10" s="10" t="e">
        <f t="shared" si="1"/>
        <v>#VALUE!</v>
      </c>
      <c r="BJ10" s="10"/>
      <c r="BK10" s="10"/>
      <c r="BL10" s="10"/>
      <c r="BM10" s="10"/>
    </row>
    <row r="11" spans="1:65" x14ac:dyDescent="0.25">
      <c r="A11">
        <v>9</v>
      </c>
      <c r="B11">
        <v>2019</v>
      </c>
      <c r="C11" t="s">
        <v>186</v>
      </c>
      <c r="D11" t="s">
        <v>139</v>
      </c>
      <c r="E11">
        <v>43.606082999999998</v>
      </c>
      <c r="F11">
        <v>-84.219527999999997</v>
      </c>
      <c r="H11" s="1">
        <v>110027360629</v>
      </c>
      <c r="I11" s="6" t="s">
        <v>187</v>
      </c>
      <c r="J11" s="4">
        <v>188.0272109</v>
      </c>
      <c r="K11" s="1">
        <v>4080201000005</v>
      </c>
      <c r="L11" t="s">
        <v>138</v>
      </c>
      <c r="O11">
        <v>0</v>
      </c>
      <c r="P11" t="s">
        <v>196</v>
      </c>
      <c r="Q11" t="s">
        <v>196</v>
      </c>
      <c r="R11" t="s">
        <v>196</v>
      </c>
      <c r="S11" t="s">
        <v>193</v>
      </c>
      <c r="T11" t="s">
        <v>196</v>
      </c>
      <c r="U11" t="s">
        <v>196</v>
      </c>
      <c r="V11">
        <v>13048281</v>
      </c>
      <c r="W11" t="s">
        <v>544</v>
      </c>
      <c r="X11">
        <v>6</v>
      </c>
      <c r="Y11">
        <v>2011.8679999999999</v>
      </c>
      <c r="Z11">
        <v>1764.36</v>
      </c>
      <c r="AA11">
        <v>2067.0479999999998</v>
      </c>
      <c r="AB11">
        <v>4314.7150000000001</v>
      </c>
      <c r="AC11">
        <v>3982.152</v>
      </c>
      <c r="AD11">
        <v>2375.5859999999998</v>
      </c>
      <c r="AE11">
        <v>1590.0609999999999</v>
      </c>
      <c r="AF11">
        <v>791.3</v>
      </c>
      <c r="AG11">
        <v>784.14200000000005</v>
      </c>
      <c r="AH11">
        <v>1331.547</v>
      </c>
      <c r="AI11">
        <v>1380.153</v>
      </c>
      <c r="AJ11">
        <v>1834.25</v>
      </c>
      <c r="AK11">
        <v>1922.9010000000001</v>
      </c>
      <c r="AL11" t="s">
        <v>490</v>
      </c>
      <c r="AM11">
        <v>-1</v>
      </c>
      <c r="AN11">
        <v>1917.2176039119799</v>
      </c>
      <c r="AO11" t="s">
        <v>525</v>
      </c>
      <c r="AP11">
        <v>3455.0347309021699</v>
      </c>
      <c r="AQ11" t="s">
        <v>526</v>
      </c>
      <c r="AR11">
        <v>1332.9518179561201</v>
      </c>
      <c r="AS11" t="s">
        <v>218</v>
      </c>
      <c r="AT11" s="10">
        <v>188027210900</v>
      </c>
      <c r="AU11" s="10">
        <v>38.224739027659901</v>
      </c>
      <c r="AV11" s="10">
        <v>54.421221650325599</v>
      </c>
      <c r="AW11" s="10">
        <v>141.06077081489099</v>
      </c>
      <c r="AX11" s="10">
        <v>98.072962879299894</v>
      </c>
      <c r="AY11" s="10">
        <f t="shared" si="0"/>
        <v>6.7171795626138566</v>
      </c>
      <c r="AZ11" s="10">
        <v>1.2741579675886601</v>
      </c>
      <c r="BA11" s="10">
        <v>1.8140407216775201</v>
      </c>
      <c r="BB11" s="10">
        <v>4.7020256938297003</v>
      </c>
      <c r="BC11" s="10">
        <v>3.2690987626433299</v>
      </c>
      <c r="BD11" s="10">
        <v>0.152898956110639</v>
      </c>
      <c r="BE11" s="10">
        <v>0.217684886601302</v>
      </c>
      <c r="BF11" s="10">
        <v>0.56424308325956396</v>
      </c>
      <c r="BH11" s="10" t="s">
        <v>196</v>
      </c>
      <c r="BI11" s="10" t="e">
        <f t="shared" si="1"/>
        <v>#VALUE!</v>
      </c>
      <c r="BJ11" s="10"/>
      <c r="BK11" s="10"/>
      <c r="BL11" s="10"/>
      <c r="BM11" s="10"/>
    </row>
    <row r="12" spans="1:65" x14ac:dyDescent="0.25">
      <c r="A12">
        <v>10</v>
      </c>
      <c r="B12">
        <v>2015</v>
      </c>
      <c r="C12" t="s">
        <v>186</v>
      </c>
      <c r="D12" t="s">
        <v>44</v>
      </c>
      <c r="E12">
        <v>30.498203</v>
      </c>
      <c r="F12">
        <v>-91.189148000000003</v>
      </c>
      <c r="G12" t="s">
        <v>45</v>
      </c>
      <c r="H12" s="1">
        <v>110000597444</v>
      </c>
      <c r="I12" s="6" t="s">
        <v>187</v>
      </c>
      <c r="J12" s="4">
        <v>97.959183670000002</v>
      </c>
      <c r="K12" s="1">
        <v>8070201006480</v>
      </c>
      <c r="L12" t="s">
        <v>43</v>
      </c>
      <c r="O12">
        <v>0</v>
      </c>
      <c r="P12" t="s">
        <v>196</v>
      </c>
      <c r="Q12" t="s">
        <v>196</v>
      </c>
      <c r="R12" t="s">
        <v>196</v>
      </c>
      <c r="S12" t="s">
        <v>193</v>
      </c>
      <c r="T12" t="s">
        <v>196</v>
      </c>
      <c r="U12" t="s">
        <v>196</v>
      </c>
      <c r="V12">
        <v>19085301</v>
      </c>
      <c r="W12" t="s">
        <v>545</v>
      </c>
      <c r="X12">
        <v>2</v>
      </c>
      <c r="Y12">
        <v>20.247</v>
      </c>
      <c r="Z12">
        <v>33.722000000000001</v>
      </c>
      <c r="AA12">
        <v>34.420999999999999</v>
      </c>
      <c r="AB12">
        <v>28.788</v>
      </c>
      <c r="AC12">
        <v>30.617999999999999</v>
      </c>
      <c r="AD12">
        <v>18.189</v>
      </c>
      <c r="AE12">
        <v>11.081</v>
      </c>
      <c r="AF12">
        <v>5.1120000000000001</v>
      </c>
      <c r="AG12">
        <v>5.2279999999999998</v>
      </c>
      <c r="AH12">
        <v>6.3209999999999997</v>
      </c>
      <c r="AI12">
        <v>15.048999999999999</v>
      </c>
      <c r="AJ12">
        <v>42.447000000000003</v>
      </c>
      <c r="AK12">
        <v>28.016999999999999</v>
      </c>
      <c r="AL12" t="s">
        <v>489</v>
      </c>
      <c r="AM12">
        <v>-1</v>
      </c>
      <c r="AN12">
        <v>12.4987775061125</v>
      </c>
      <c r="AO12" t="s">
        <v>525</v>
      </c>
      <c r="AP12">
        <v>22.1168709897049</v>
      </c>
      <c r="AQ12" t="s">
        <v>526</v>
      </c>
      <c r="AR12">
        <v>7.2789759450437703</v>
      </c>
      <c r="AS12" t="s">
        <v>218</v>
      </c>
      <c r="AT12" s="10">
        <v>97959183670</v>
      </c>
      <c r="AU12" s="10">
        <v>1978.82679513162</v>
      </c>
      <c r="AV12" s="10">
        <v>4429.1610560824101</v>
      </c>
      <c r="AW12" s="10">
        <v>13457.8248931706</v>
      </c>
      <c r="AX12" s="10">
        <v>7837.5011973845803</v>
      </c>
      <c r="AY12" s="10">
        <f t="shared" si="0"/>
        <v>640.84880443669522</v>
      </c>
      <c r="AZ12" s="10">
        <v>65.960893171054096</v>
      </c>
      <c r="BA12" s="10">
        <v>147.63870186941401</v>
      </c>
      <c r="BB12" s="10">
        <v>448.59416310568599</v>
      </c>
      <c r="BC12" s="10">
        <v>261.25003991281898</v>
      </c>
      <c r="BD12" s="10">
        <v>7.9153071805264998</v>
      </c>
      <c r="BE12" s="10">
        <v>17.716644224329698</v>
      </c>
      <c r="BF12" s="10">
        <v>53.831299572682298</v>
      </c>
      <c r="BH12" s="10">
        <v>3.7741643635548101E-5</v>
      </c>
      <c r="BI12" s="10">
        <f t="shared" si="1"/>
        <v>6.6865527273244295E-4</v>
      </c>
      <c r="BJ12" s="10"/>
      <c r="BK12" s="10"/>
      <c r="BL12" s="10"/>
      <c r="BM12" s="10"/>
    </row>
    <row r="13" spans="1:65" x14ac:dyDescent="0.25">
      <c r="A13">
        <v>11</v>
      </c>
      <c r="B13">
        <v>2016</v>
      </c>
      <c r="C13" t="s">
        <v>186</v>
      </c>
      <c r="D13" t="s">
        <v>101</v>
      </c>
      <c r="E13">
        <v>29.726130000000001</v>
      </c>
      <c r="F13">
        <v>-95.108019999999996</v>
      </c>
      <c r="G13" t="s">
        <v>102</v>
      </c>
      <c r="H13" s="1">
        <v>110043782788</v>
      </c>
      <c r="I13" s="6" t="s">
        <v>188</v>
      </c>
      <c r="J13" s="4">
        <v>77.259987749999993</v>
      </c>
      <c r="K13" s="1">
        <v>12040104000662</v>
      </c>
      <c r="L13" t="s">
        <v>100</v>
      </c>
      <c r="M13" t="s">
        <v>546</v>
      </c>
      <c r="O13">
        <v>0</v>
      </c>
      <c r="P13" t="s">
        <v>196</v>
      </c>
      <c r="Q13" t="s">
        <v>196</v>
      </c>
      <c r="R13" t="s">
        <v>196</v>
      </c>
      <c r="S13" t="s">
        <v>193</v>
      </c>
      <c r="T13" t="s">
        <v>196</v>
      </c>
      <c r="U13" t="s">
        <v>196</v>
      </c>
      <c r="V13">
        <v>1439547</v>
      </c>
      <c r="W13" t="s">
        <v>547</v>
      </c>
      <c r="X13">
        <v>1</v>
      </c>
      <c r="Y13">
        <v>5.6070000000000002</v>
      </c>
      <c r="Z13">
        <v>10.827999999999999</v>
      </c>
      <c r="AA13">
        <v>10.332000000000001</v>
      </c>
      <c r="AB13">
        <v>6.9560000000000004</v>
      </c>
      <c r="AC13">
        <v>4.0279999999999996</v>
      </c>
      <c r="AD13">
        <v>4.4059999999999997</v>
      </c>
      <c r="AE13">
        <v>4.3099999999999996</v>
      </c>
      <c r="AF13">
        <v>1.1579999999999999</v>
      </c>
      <c r="AG13">
        <v>0.81200000000000006</v>
      </c>
      <c r="AH13">
        <v>0.56899999999999995</v>
      </c>
      <c r="AI13">
        <v>0.95399999999999996</v>
      </c>
      <c r="AJ13">
        <v>2.9079999999999999</v>
      </c>
      <c r="AK13">
        <v>9.6829999999999998</v>
      </c>
      <c r="AL13" t="s">
        <v>491</v>
      </c>
      <c r="AM13">
        <v>-1</v>
      </c>
      <c r="AN13">
        <v>1.39119804400978</v>
      </c>
      <c r="AO13" t="s">
        <v>525</v>
      </c>
      <c r="AP13">
        <v>3.4365129834290702</v>
      </c>
      <c r="AQ13" t="s">
        <v>526</v>
      </c>
      <c r="AR13">
        <v>0.74994473316032495</v>
      </c>
      <c r="AS13" t="s">
        <v>218</v>
      </c>
      <c r="AT13" s="10">
        <v>77259987750</v>
      </c>
      <c r="AU13" s="10">
        <v>5635.6937738095203</v>
      </c>
      <c r="AV13" s="10">
        <v>22482.088129027601</v>
      </c>
      <c r="AW13" s="10">
        <v>103020.908520046</v>
      </c>
      <c r="AX13" s="10">
        <v>55534.859384446398</v>
      </c>
      <c r="AY13" s="10">
        <f t="shared" si="0"/>
        <v>4905.7575485736188</v>
      </c>
      <c r="AZ13" s="10">
        <v>187.85645912698399</v>
      </c>
      <c r="BA13" s="10">
        <v>749.40293763425302</v>
      </c>
      <c r="BB13" s="10">
        <v>3434.0302840015302</v>
      </c>
      <c r="BC13" s="10">
        <v>1851.1619794815499</v>
      </c>
      <c r="BD13" s="10">
        <v>22.542775095238099</v>
      </c>
      <c r="BE13" s="10">
        <v>89.928352516110394</v>
      </c>
      <c r="BF13" s="10">
        <v>412.083634080183</v>
      </c>
      <c r="BH13" s="10" t="s">
        <v>196</v>
      </c>
      <c r="BI13" s="10" t="e">
        <f t="shared" si="1"/>
        <v>#VALUE!</v>
      </c>
      <c r="BJ13" s="10"/>
      <c r="BK13" s="10"/>
      <c r="BL13" s="10"/>
      <c r="BM13" s="10"/>
    </row>
    <row r="14" spans="1:65" x14ac:dyDescent="0.25">
      <c r="A14">
        <v>12</v>
      </c>
      <c r="B14">
        <v>2017</v>
      </c>
      <c r="C14" t="s">
        <v>195</v>
      </c>
      <c r="D14" t="s">
        <v>32</v>
      </c>
      <c r="E14">
        <v>37.056699000000002</v>
      </c>
      <c r="F14">
        <v>-88.365727000000007</v>
      </c>
      <c r="G14" t="s">
        <v>33</v>
      </c>
      <c r="H14" s="1">
        <v>110000380061</v>
      </c>
      <c r="I14" s="6" t="s">
        <v>187</v>
      </c>
      <c r="J14" s="4">
        <v>72.574779199999995</v>
      </c>
      <c r="K14" s="1">
        <v>6040006000329</v>
      </c>
      <c r="L14" t="s">
        <v>31</v>
      </c>
      <c r="O14">
        <v>2019</v>
      </c>
      <c r="P14">
        <v>4.62</v>
      </c>
      <c r="Q14">
        <v>4.3499999999999996</v>
      </c>
      <c r="R14">
        <v>0.92999102380952403</v>
      </c>
      <c r="S14" t="s">
        <v>193</v>
      </c>
      <c r="T14">
        <v>4.3499999999999996</v>
      </c>
      <c r="U14">
        <v>6.7304504999999999</v>
      </c>
      <c r="V14">
        <v>1861532</v>
      </c>
      <c r="W14" t="s">
        <v>196</v>
      </c>
      <c r="X14">
        <v>1</v>
      </c>
      <c r="Y14">
        <v>0.88900000000000001</v>
      </c>
      <c r="Z14">
        <v>1.7370000000000001</v>
      </c>
      <c r="AA14">
        <v>2.032</v>
      </c>
      <c r="AB14">
        <v>1.8819999999999999</v>
      </c>
      <c r="AC14">
        <v>1.5129999999999999</v>
      </c>
      <c r="AD14">
        <v>0.97299999999999998</v>
      </c>
      <c r="AE14">
        <v>0.47</v>
      </c>
      <c r="AF14">
        <v>0.33100000000000002</v>
      </c>
      <c r="AG14">
        <v>0.29399999999999998</v>
      </c>
      <c r="AH14">
        <v>0.439</v>
      </c>
      <c r="AI14">
        <v>0.84699999999999998</v>
      </c>
      <c r="AJ14">
        <v>0.39600000000000002</v>
      </c>
      <c r="AK14">
        <v>1.115</v>
      </c>
      <c r="AL14" t="s">
        <v>490</v>
      </c>
      <c r="AM14">
        <v>16.455869193154001</v>
      </c>
      <c r="AN14">
        <v>16.455869193154001</v>
      </c>
      <c r="AO14" t="s">
        <v>217</v>
      </c>
      <c r="AP14">
        <v>16.455869193154001</v>
      </c>
      <c r="AQ14" t="s">
        <v>217</v>
      </c>
      <c r="AR14">
        <v>16.455869193154001</v>
      </c>
      <c r="AS14" t="s">
        <v>217</v>
      </c>
      <c r="AT14" s="10">
        <v>72574779200</v>
      </c>
      <c r="AU14" s="10">
        <v>33389.296617322798</v>
      </c>
      <c r="AV14" s="10">
        <v>4410.2671422663298</v>
      </c>
      <c r="AW14" s="10">
        <v>4410.2671422663298</v>
      </c>
      <c r="AX14" s="10">
        <v>4410.2671422663298</v>
      </c>
      <c r="AY14" s="10">
        <f t="shared" si="0"/>
        <v>210.01272106030143</v>
      </c>
      <c r="AZ14" s="10">
        <v>1112.97655391076</v>
      </c>
      <c r="BA14" s="10">
        <v>147.008904742211</v>
      </c>
      <c r="BB14" s="10">
        <v>147.008904742211</v>
      </c>
      <c r="BC14" s="10">
        <v>147.008904742211</v>
      </c>
      <c r="BD14" s="10">
        <v>133.557186469291</v>
      </c>
      <c r="BE14" s="10">
        <v>17.6410685690653</v>
      </c>
      <c r="BF14" s="10">
        <v>17.6410685690653</v>
      </c>
      <c r="BH14" s="10">
        <v>2.9023257305697399E-6</v>
      </c>
      <c r="BI14" s="10">
        <f t="shared" si="1"/>
        <v>5.1200127222743324E-5</v>
      </c>
      <c r="BJ14" s="10"/>
      <c r="BK14" s="10"/>
      <c r="BL14" s="10"/>
      <c r="BM14" s="10"/>
    </row>
    <row r="15" spans="1:65" x14ac:dyDescent="0.25">
      <c r="A15">
        <v>13</v>
      </c>
      <c r="B15">
        <v>2018</v>
      </c>
      <c r="C15" t="s">
        <v>186</v>
      </c>
      <c r="D15" t="s">
        <v>34</v>
      </c>
      <c r="E15">
        <v>30.208604000000001</v>
      </c>
      <c r="F15">
        <v>-91.011127999999999</v>
      </c>
      <c r="G15" t="s">
        <v>35</v>
      </c>
      <c r="H15" s="1">
        <v>110000746328</v>
      </c>
      <c r="I15" s="6" t="s">
        <v>187</v>
      </c>
      <c r="J15" s="4">
        <v>45.667638480000001</v>
      </c>
      <c r="K15" s="1">
        <v>8070204000982</v>
      </c>
      <c r="L15" t="s">
        <v>548</v>
      </c>
      <c r="M15" t="s">
        <v>549</v>
      </c>
      <c r="N15" t="s">
        <v>550</v>
      </c>
      <c r="O15">
        <v>0</v>
      </c>
      <c r="P15" t="s">
        <v>196</v>
      </c>
      <c r="Q15" t="s">
        <v>196</v>
      </c>
      <c r="R15" t="s">
        <v>196</v>
      </c>
      <c r="S15" t="s">
        <v>193</v>
      </c>
      <c r="T15" t="s">
        <v>196</v>
      </c>
      <c r="U15" t="s">
        <v>196</v>
      </c>
      <c r="V15">
        <v>15209323</v>
      </c>
      <c r="W15" t="s">
        <v>196</v>
      </c>
      <c r="X15">
        <v>1</v>
      </c>
      <c r="Y15">
        <v>2.79</v>
      </c>
      <c r="Z15">
        <v>4.3</v>
      </c>
      <c r="AA15">
        <v>4.452</v>
      </c>
      <c r="AB15">
        <v>3.9060000000000001</v>
      </c>
      <c r="AC15">
        <v>4.1970000000000001</v>
      </c>
      <c r="AD15">
        <v>2.4119999999999999</v>
      </c>
      <c r="AE15">
        <v>1.4890000000000001</v>
      </c>
      <c r="AF15">
        <v>0.55300000000000005</v>
      </c>
      <c r="AG15">
        <v>0.56999999999999995</v>
      </c>
      <c r="AH15">
        <v>0.8</v>
      </c>
      <c r="AI15">
        <v>3.8330000000000002</v>
      </c>
      <c r="AJ15">
        <v>9.6059999999999999</v>
      </c>
      <c r="AK15">
        <v>3.89</v>
      </c>
      <c r="AL15" t="s">
        <v>489</v>
      </c>
      <c r="AM15">
        <v>-1</v>
      </c>
      <c r="AN15">
        <v>1.3520782396088</v>
      </c>
      <c r="AO15" t="s">
        <v>525</v>
      </c>
      <c r="AP15">
        <v>2.43030532575533</v>
      </c>
      <c r="AQ15" t="s">
        <v>526</v>
      </c>
      <c r="AR15">
        <v>0.72812525900131098</v>
      </c>
      <c r="AS15" t="s">
        <v>218</v>
      </c>
      <c r="AT15" s="10">
        <v>45667638480</v>
      </c>
      <c r="AU15" s="10">
        <v>6694.6466445591404</v>
      </c>
      <c r="AV15" s="10">
        <v>18790.9058158388</v>
      </c>
      <c r="AW15" s="10">
        <v>62719.481181901698</v>
      </c>
      <c r="AX15" s="10">
        <v>33775.884517757702</v>
      </c>
      <c r="AY15" s="10">
        <f t="shared" si="0"/>
        <v>2986.641961042938</v>
      </c>
      <c r="AZ15" s="10">
        <v>223.15488815197099</v>
      </c>
      <c r="BA15" s="10">
        <v>626.36352719462798</v>
      </c>
      <c r="BB15" s="10">
        <v>2090.6493727300599</v>
      </c>
      <c r="BC15" s="10">
        <v>1125.86281725859</v>
      </c>
      <c r="BD15" s="10">
        <v>26.778586578236599</v>
      </c>
      <c r="BE15" s="10">
        <v>75.163623263355404</v>
      </c>
      <c r="BF15" s="10">
        <v>250.877924727607</v>
      </c>
      <c r="BH15" s="10" t="s">
        <v>196</v>
      </c>
      <c r="BI15" s="10" t="e">
        <f t="shared" si="1"/>
        <v>#VALUE!</v>
      </c>
      <c r="BJ15" s="10"/>
      <c r="BK15" s="10"/>
      <c r="BL15" s="10"/>
      <c r="BM15" s="10"/>
    </row>
    <row r="16" spans="1:65" x14ac:dyDescent="0.25">
      <c r="A16">
        <v>14</v>
      </c>
      <c r="B16">
        <v>2016</v>
      </c>
      <c r="C16" t="s">
        <v>195</v>
      </c>
      <c r="D16" t="s">
        <v>551</v>
      </c>
      <c r="E16">
        <v>30.474443999999998</v>
      </c>
      <c r="F16">
        <v>-91.183055999999993</v>
      </c>
      <c r="G16" t="s">
        <v>37</v>
      </c>
      <c r="H16" s="1">
        <v>110003266849</v>
      </c>
      <c r="I16" s="6" t="s">
        <v>189</v>
      </c>
      <c r="J16" s="4">
        <v>27.669134570000001</v>
      </c>
      <c r="K16" s="1">
        <v>8070100000180</v>
      </c>
      <c r="L16" t="s">
        <v>552</v>
      </c>
      <c r="M16" t="s">
        <v>36</v>
      </c>
      <c r="O16">
        <v>2019</v>
      </c>
      <c r="P16" t="s">
        <v>196</v>
      </c>
      <c r="Q16">
        <v>8.08</v>
      </c>
      <c r="R16">
        <v>0.38930625000000002</v>
      </c>
      <c r="S16" t="s">
        <v>193</v>
      </c>
      <c r="T16">
        <v>8.08</v>
      </c>
      <c r="U16">
        <v>12.5016184</v>
      </c>
      <c r="V16">
        <v>19088319</v>
      </c>
      <c r="W16" t="s">
        <v>553</v>
      </c>
      <c r="X16">
        <v>10</v>
      </c>
      <c r="Y16">
        <v>539413.15399999998</v>
      </c>
      <c r="Z16">
        <v>653345.66500000004</v>
      </c>
      <c r="AA16">
        <v>681969.69900000002</v>
      </c>
      <c r="AB16">
        <v>811880.07</v>
      </c>
      <c r="AC16">
        <v>865126.32299999997</v>
      </c>
      <c r="AD16">
        <v>704657.02300000004</v>
      </c>
      <c r="AE16">
        <v>532475.06900000002</v>
      </c>
      <c r="AF16">
        <v>486972.53100000002</v>
      </c>
      <c r="AG16">
        <v>376090.163</v>
      </c>
      <c r="AH16">
        <v>297157.35700000002</v>
      </c>
      <c r="AI16">
        <v>283355.66600000003</v>
      </c>
      <c r="AJ16">
        <v>371501.48800000001</v>
      </c>
      <c r="AK16">
        <v>626069.30200000003</v>
      </c>
      <c r="AL16" t="s">
        <v>492</v>
      </c>
      <c r="AM16">
        <v>30.566304156479202</v>
      </c>
      <c r="AN16">
        <v>692801.13936430297</v>
      </c>
      <c r="AO16" t="s">
        <v>525</v>
      </c>
      <c r="AP16">
        <v>1408418.8076255899</v>
      </c>
      <c r="AQ16" t="s">
        <v>526</v>
      </c>
      <c r="AR16">
        <v>592640.08838273201</v>
      </c>
      <c r="AS16" t="s">
        <v>218</v>
      </c>
      <c r="AT16" s="10">
        <v>27669134570</v>
      </c>
      <c r="AU16" s="10">
        <v>2.0979607106744701E-2</v>
      </c>
      <c r="AV16" s="10">
        <v>1.9645530448891502E-2</v>
      </c>
      <c r="AW16" s="10">
        <v>4.6687922589757402E-2</v>
      </c>
      <c r="AX16" s="10">
        <v>3.9938061584870503E-2</v>
      </c>
      <c r="AY16" s="10">
        <f t="shared" si="0"/>
        <v>2.2232344090360669E-3</v>
      </c>
      <c r="AZ16" s="10">
        <v>6.9932023689149201E-4</v>
      </c>
      <c r="BA16" s="10">
        <v>6.5485101496304905E-4</v>
      </c>
      <c r="BB16" s="10">
        <v>1.55626408632525E-3</v>
      </c>
      <c r="BC16" s="10">
        <v>1.3312687194956801E-3</v>
      </c>
      <c r="BD16" s="10">
        <v>8.3918428426978998E-5</v>
      </c>
      <c r="BE16" s="10">
        <v>7.8582121795565794E-5</v>
      </c>
      <c r="BF16" s="10">
        <v>1.8675169035903001E-4</v>
      </c>
      <c r="BH16" s="10">
        <v>0.999967534289258</v>
      </c>
      <c r="BI16" s="10">
        <f t="shared" si="1"/>
        <v>7.8579570571130091E-5</v>
      </c>
      <c r="BJ16" s="10"/>
      <c r="BK16" s="10"/>
      <c r="BL16" s="10"/>
      <c r="BM16" s="10"/>
    </row>
    <row r="17" spans="1:65" x14ac:dyDescent="0.25">
      <c r="A17">
        <v>15</v>
      </c>
      <c r="B17">
        <v>2018</v>
      </c>
      <c r="C17" t="s">
        <v>186</v>
      </c>
      <c r="D17" t="s">
        <v>554</v>
      </c>
      <c r="E17">
        <v>29.717471</v>
      </c>
      <c r="F17">
        <v>-95.068008000000006</v>
      </c>
      <c r="G17" t="s">
        <v>116</v>
      </c>
      <c r="H17" s="1">
        <v>110034641635</v>
      </c>
      <c r="I17" s="6" t="s">
        <v>187</v>
      </c>
      <c r="J17" s="4">
        <v>24.167016830000001</v>
      </c>
      <c r="K17" s="1">
        <v>12040104000907</v>
      </c>
      <c r="L17" t="s">
        <v>555</v>
      </c>
      <c r="M17" t="s">
        <v>556</v>
      </c>
      <c r="N17" t="s">
        <v>115</v>
      </c>
      <c r="O17">
        <v>0</v>
      </c>
      <c r="P17" t="s">
        <v>196</v>
      </c>
      <c r="Q17" t="s">
        <v>196</v>
      </c>
      <c r="R17" t="s">
        <v>196</v>
      </c>
      <c r="S17" t="s">
        <v>193</v>
      </c>
      <c r="T17" t="s">
        <v>196</v>
      </c>
      <c r="U17" t="s">
        <v>196</v>
      </c>
      <c r="V17">
        <v>1439509</v>
      </c>
      <c r="W17" t="s">
        <v>196</v>
      </c>
      <c r="X17">
        <v>1</v>
      </c>
      <c r="Y17">
        <v>4.391</v>
      </c>
      <c r="Z17">
        <v>8.2759999999999998</v>
      </c>
      <c r="AA17">
        <v>7.931</v>
      </c>
      <c r="AB17">
        <v>5.39</v>
      </c>
      <c r="AC17">
        <v>3.1240000000000001</v>
      </c>
      <c r="AD17">
        <v>3.3490000000000002</v>
      </c>
      <c r="AE17">
        <v>3.3</v>
      </c>
      <c r="AF17">
        <v>0.84399999999999997</v>
      </c>
      <c r="AG17">
        <v>0.58799999999999997</v>
      </c>
      <c r="AH17">
        <v>0.39900000000000002</v>
      </c>
      <c r="AI17">
        <v>0.68600000000000005</v>
      </c>
      <c r="AJ17">
        <v>2.2109999999999999</v>
      </c>
      <c r="AK17">
        <v>7.5359999999999996</v>
      </c>
      <c r="AL17" t="s">
        <v>491</v>
      </c>
      <c r="AM17">
        <v>-1</v>
      </c>
      <c r="AN17">
        <v>0.97555012224938897</v>
      </c>
      <c r="AO17" t="s">
        <v>525</v>
      </c>
      <c r="AP17">
        <v>2.4993151371171098</v>
      </c>
      <c r="AQ17" t="s">
        <v>526</v>
      </c>
      <c r="AR17">
        <v>0.51935483952247496</v>
      </c>
      <c r="AS17" t="s">
        <v>218</v>
      </c>
      <c r="AT17" s="10">
        <v>24167016830</v>
      </c>
      <c r="AU17" s="10">
        <v>2251.0384612776102</v>
      </c>
      <c r="AV17" s="10">
        <v>9669.4556325041794</v>
      </c>
      <c r="AW17" s="10">
        <v>46532.765252020297</v>
      </c>
      <c r="AX17" s="10">
        <v>24772.7064748622</v>
      </c>
      <c r="AY17" s="10">
        <f t="shared" si="0"/>
        <v>2215.8459643819187</v>
      </c>
      <c r="AZ17" s="10">
        <v>75.034615375920396</v>
      </c>
      <c r="BA17" s="10">
        <v>322.31518775013899</v>
      </c>
      <c r="BB17" s="10">
        <v>1551.0921750673399</v>
      </c>
      <c r="BC17" s="10">
        <v>825.75688249540497</v>
      </c>
      <c r="BD17" s="10">
        <v>9.0041538451104497</v>
      </c>
      <c r="BE17" s="10">
        <v>38.677822530016698</v>
      </c>
      <c r="BF17" s="10">
        <v>186.13106100808099</v>
      </c>
      <c r="BH17" s="10" t="s">
        <v>196</v>
      </c>
      <c r="BI17" s="10" t="e">
        <f t="shared" si="1"/>
        <v>#VALUE!</v>
      </c>
      <c r="BJ17" s="10"/>
      <c r="BK17" s="10"/>
      <c r="BL17" s="10"/>
      <c r="BM17" s="10"/>
    </row>
    <row r="18" spans="1:65" x14ac:dyDescent="0.25">
      <c r="A18">
        <v>16</v>
      </c>
      <c r="B18">
        <v>2015</v>
      </c>
      <c r="C18" t="s">
        <v>195</v>
      </c>
      <c r="D18" t="s">
        <v>557</v>
      </c>
      <c r="E18">
        <v>41.350468999999997</v>
      </c>
      <c r="F18">
        <v>-91.081619000000003</v>
      </c>
      <c r="G18" t="s">
        <v>558</v>
      </c>
      <c r="H18" s="1">
        <v>110018869474</v>
      </c>
      <c r="I18" s="6" t="s">
        <v>189</v>
      </c>
      <c r="J18" s="4">
        <v>22.6796185</v>
      </c>
      <c r="K18" s="1">
        <v>7080101001366</v>
      </c>
      <c r="L18" t="s">
        <v>198</v>
      </c>
      <c r="O18">
        <v>2019</v>
      </c>
      <c r="P18">
        <v>0.93</v>
      </c>
      <c r="Q18">
        <v>0.86</v>
      </c>
      <c r="R18">
        <v>0.86</v>
      </c>
      <c r="S18" t="s">
        <v>193</v>
      </c>
      <c r="T18">
        <v>0.86</v>
      </c>
      <c r="U18">
        <v>1.3306178</v>
      </c>
      <c r="V18">
        <v>14807223</v>
      </c>
      <c r="W18" t="s">
        <v>553</v>
      </c>
      <c r="X18">
        <v>8</v>
      </c>
      <c r="Y18">
        <v>63519.107000000004</v>
      </c>
      <c r="Z18">
        <v>39205.142999999996</v>
      </c>
      <c r="AA18">
        <v>43388.19</v>
      </c>
      <c r="AB18">
        <v>73424.756999999998</v>
      </c>
      <c r="AC18">
        <v>110256.47100000001</v>
      </c>
      <c r="AD18">
        <v>99454.269</v>
      </c>
      <c r="AE18">
        <v>80163.925000000003</v>
      </c>
      <c r="AF18">
        <v>71819.266000000003</v>
      </c>
      <c r="AG18">
        <v>53130.559999999998</v>
      </c>
      <c r="AH18">
        <v>49673.595999999998</v>
      </c>
      <c r="AI18">
        <v>52215.74</v>
      </c>
      <c r="AJ18">
        <v>52873.338000000003</v>
      </c>
      <c r="AK18">
        <v>44147.944000000003</v>
      </c>
      <c r="AL18" t="s">
        <v>483</v>
      </c>
      <c r="AM18">
        <v>3.2533442542787299</v>
      </c>
      <c r="AN18">
        <v>95856.095354523204</v>
      </c>
      <c r="AO18" t="s">
        <v>525</v>
      </c>
      <c r="AP18">
        <v>165369.09782922699</v>
      </c>
      <c r="AQ18" t="s">
        <v>526</v>
      </c>
      <c r="AR18">
        <v>76483.148650338102</v>
      </c>
      <c r="AS18" t="s">
        <v>218</v>
      </c>
      <c r="AT18" s="10">
        <v>22679618500</v>
      </c>
      <c r="AU18" s="10">
        <v>0.146034231345538</v>
      </c>
      <c r="AV18" s="10">
        <v>0.13714544493325301</v>
      </c>
      <c r="AW18" s="10">
        <v>0.29653092086579202</v>
      </c>
      <c r="AX18" s="10">
        <v>0.23660069206991499</v>
      </c>
      <c r="AY18" s="10">
        <f t="shared" si="0"/>
        <v>1.4120520041228192E-2</v>
      </c>
      <c r="AZ18" s="10">
        <v>4.8678077115179401E-3</v>
      </c>
      <c r="BA18" s="10">
        <v>4.5715148311084404E-3</v>
      </c>
      <c r="BB18" s="10">
        <v>9.8843640288597302E-3</v>
      </c>
      <c r="BC18" s="10">
        <v>7.8866897356638498E-3</v>
      </c>
      <c r="BD18" s="10">
        <v>5.8413692538215303E-4</v>
      </c>
      <c r="BE18" s="10">
        <v>5.4858177973301202E-4</v>
      </c>
      <c r="BF18" s="10">
        <v>1.18612368346317E-3</v>
      </c>
      <c r="BH18" s="10">
        <v>1</v>
      </c>
      <c r="BI18" s="10">
        <f t="shared" si="1"/>
        <v>5.4858177973301202E-4</v>
      </c>
      <c r="BJ18" s="10"/>
      <c r="BK18" s="10"/>
      <c r="BL18" s="10"/>
      <c r="BM18" s="10"/>
    </row>
    <row r="19" spans="1:65" x14ac:dyDescent="0.25">
      <c r="A19">
        <v>17</v>
      </c>
      <c r="B19">
        <v>2018</v>
      </c>
      <c r="C19" t="s">
        <v>186</v>
      </c>
      <c r="D19" t="s">
        <v>559</v>
      </c>
      <c r="E19">
        <v>29.718139000000001</v>
      </c>
      <c r="F19">
        <v>-95.268749999999997</v>
      </c>
      <c r="G19" t="s">
        <v>99</v>
      </c>
      <c r="H19" s="1">
        <v>110000460901</v>
      </c>
      <c r="I19" s="6" t="s">
        <v>189</v>
      </c>
      <c r="J19" s="4">
        <v>14.05895692</v>
      </c>
      <c r="K19" s="1">
        <v>12040104000084</v>
      </c>
      <c r="L19" t="s">
        <v>98</v>
      </c>
      <c r="O19">
        <v>0</v>
      </c>
      <c r="P19" t="s">
        <v>196</v>
      </c>
      <c r="Q19" t="s">
        <v>196</v>
      </c>
      <c r="R19" t="s">
        <v>196</v>
      </c>
      <c r="S19" t="s">
        <v>193</v>
      </c>
      <c r="T19" t="s">
        <v>196</v>
      </c>
      <c r="U19" t="s">
        <v>196</v>
      </c>
      <c r="V19">
        <v>1439589</v>
      </c>
      <c r="W19" t="s">
        <v>560</v>
      </c>
      <c r="X19">
        <v>2</v>
      </c>
      <c r="Y19">
        <v>113.402</v>
      </c>
      <c r="Z19">
        <v>236.52699999999999</v>
      </c>
      <c r="AA19">
        <v>228.386</v>
      </c>
      <c r="AB19">
        <v>158.90700000000001</v>
      </c>
      <c r="AC19">
        <v>121.02800000000001</v>
      </c>
      <c r="AD19">
        <v>102.27800000000001</v>
      </c>
      <c r="AE19">
        <v>119.605</v>
      </c>
      <c r="AF19">
        <v>50.639000000000003</v>
      </c>
      <c r="AG19">
        <v>52.406999999999996</v>
      </c>
      <c r="AH19">
        <v>61.567999999999998</v>
      </c>
      <c r="AI19">
        <v>61.183999999999997</v>
      </c>
      <c r="AJ19">
        <v>65.069000000000003</v>
      </c>
      <c r="AK19">
        <v>158.99199999999999</v>
      </c>
      <c r="AL19" t="s">
        <v>489</v>
      </c>
      <c r="AM19">
        <v>-1</v>
      </c>
      <c r="AN19">
        <v>123.81173594131999</v>
      </c>
      <c r="AO19" t="s">
        <v>525</v>
      </c>
      <c r="AP19">
        <v>185.24007309162101</v>
      </c>
      <c r="AQ19" t="s">
        <v>526</v>
      </c>
      <c r="AR19">
        <v>78.166386968528002</v>
      </c>
      <c r="AS19" t="s">
        <v>218</v>
      </c>
      <c r="AT19" s="10">
        <v>14058956920</v>
      </c>
      <c r="AU19" s="10">
        <v>50.705572920054301</v>
      </c>
      <c r="AV19" s="10">
        <v>75.895872234116197</v>
      </c>
      <c r="AW19" s="10">
        <v>179.85936750102701</v>
      </c>
      <c r="AX19" s="10">
        <v>113.55108474259001</v>
      </c>
      <c r="AY19" s="10">
        <f t="shared" si="0"/>
        <v>8.5647317857631915</v>
      </c>
      <c r="AZ19" s="10">
        <v>1.6901857640018101</v>
      </c>
      <c r="BA19" s="10">
        <v>2.5298624078038698</v>
      </c>
      <c r="BB19" s="10">
        <v>5.9953122500342504</v>
      </c>
      <c r="BC19" s="10">
        <v>3.7850361580863199</v>
      </c>
      <c r="BD19" s="10">
        <v>0.20282229168021701</v>
      </c>
      <c r="BE19" s="10">
        <v>0.30358348893646497</v>
      </c>
      <c r="BF19" s="10">
        <v>0.71943747000410996</v>
      </c>
      <c r="BH19" s="10" t="s">
        <v>196</v>
      </c>
      <c r="BI19" s="10" t="e">
        <f t="shared" si="1"/>
        <v>#VALUE!</v>
      </c>
      <c r="BJ19" s="10"/>
      <c r="BK19" s="10"/>
      <c r="BL19" s="10"/>
      <c r="BM19" s="10"/>
    </row>
    <row r="20" spans="1:65" x14ac:dyDescent="0.25">
      <c r="A20">
        <v>18</v>
      </c>
      <c r="B20">
        <v>2020</v>
      </c>
      <c r="C20" t="s">
        <v>186</v>
      </c>
      <c r="D20" t="s">
        <v>561</v>
      </c>
      <c r="E20">
        <v>30.242155</v>
      </c>
      <c r="F20">
        <v>-93.274386000000007</v>
      </c>
      <c r="G20" t="s">
        <v>40</v>
      </c>
      <c r="H20" s="1">
        <v>110000539757</v>
      </c>
      <c r="I20" s="6" t="s">
        <v>673</v>
      </c>
      <c r="J20" s="4">
        <v>13.979519</v>
      </c>
      <c r="K20" s="1">
        <v>8080206001238</v>
      </c>
      <c r="L20" t="s">
        <v>562</v>
      </c>
      <c r="M20" t="s">
        <v>563</v>
      </c>
      <c r="N20" t="s">
        <v>564</v>
      </c>
      <c r="O20">
        <v>0</v>
      </c>
      <c r="P20" t="s">
        <v>196</v>
      </c>
      <c r="Q20" t="s">
        <v>196</v>
      </c>
      <c r="R20" t="s">
        <v>196</v>
      </c>
      <c r="S20" t="s">
        <v>193</v>
      </c>
      <c r="T20" t="s">
        <v>196</v>
      </c>
      <c r="U20" t="s">
        <v>196</v>
      </c>
      <c r="V20">
        <v>3710370</v>
      </c>
      <c r="W20" t="s">
        <v>565</v>
      </c>
      <c r="X20">
        <v>6</v>
      </c>
      <c r="Y20">
        <v>4911.8490000000002</v>
      </c>
      <c r="Z20">
        <v>9586.9320000000007</v>
      </c>
      <c r="AA20">
        <v>8482.5930000000008</v>
      </c>
      <c r="AB20">
        <v>7614.674</v>
      </c>
      <c r="AC20">
        <v>5843.6610000000001</v>
      </c>
      <c r="AD20">
        <v>5082.1760000000004</v>
      </c>
      <c r="AE20">
        <v>3275.0740000000001</v>
      </c>
      <c r="AF20">
        <v>3221.5509999999999</v>
      </c>
      <c r="AG20">
        <v>2027.0550000000001</v>
      </c>
      <c r="AH20">
        <v>2441.5070000000001</v>
      </c>
      <c r="AI20">
        <v>1781.61</v>
      </c>
      <c r="AJ20">
        <v>2530.9290000000001</v>
      </c>
      <c r="AK20">
        <v>7507.4470000000001</v>
      </c>
      <c r="AL20" t="s">
        <v>492</v>
      </c>
      <c r="AM20">
        <v>-1</v>
      </c>
      <c r="AN20">
        <v>4356.0146699266497</v>
      </c>
      <c r="AO20" t="s">
        <v>525</v>
      </c>
      <c r="AP20">
        <v>8423.19370633369</v>
      </c>
      <c r="AQ20" t="s">
        <v>526</v>
      </c>
      <c r="AR20">
        <v>3117.29776332856</v>
      </c>
      <c r="AS20" t="s">
        <v>218</v>
      </c>
      <c r="AT20" s="10">
        <v>13979519000</v>
      </c>
      <c r="AU20" s="10">
        <v>1.1640470362586499</v>
      </c>
      <c r="AV20" s="10">
        <v>1.6596459119168001</v>
      </c>
      <c r="AW20" s="10">
        <v>4.4844990954836099</v>
      </c>
      <c r="AX20" s="10">
        <v>3.20924516083767</v>
      </c>
      <c r="AY20" s="10">
        <f t="shared" si="0"/>
        <v>0.21354757597540999</v>
      </c>
      <c r="AZ20" s="10">
        <v>3.8801567875288198E-2</v>
      </c>
      <c r="BA20" s="10">
        <v>5.53215303972266E-2</v>
      </c>
      <c r="BB20" s="10">
        <v>0.14948330318278699</v>
      </c>
      <c r="BC20" s="10">
        <v>0.106974838694589</v>
      </c>
      <c r="BD20" s="10">
        <v>4.6561881450345897E-3</v>
      </c>
      <c r="BE20" s="10">
        <v>6.6385836476671898E-3</v>
      </c>
      <c r="BF20" s="10">
        <v>1.7937996381934398E-2</v>
      </c>
      <c r="BH20" s="10" t="s">
        <v>196</v>
      </c>
      <c r="BI20" s="10" t="e">
        <f t="shared" si="1"/>
        <v>#VALUE!</v>
      </c>
      <c r="BJ20" s="10"/>
      <c r="BK20" s="10"/>
      <c r="BL20" s="10"/>
      <c r="BM20" s="10"/>
    </row>
    <row r="21" spans="1:65" x14ac:dyDescent="0.25">
      <c r="A21">
        <v>19</v>
      </c>
      <c r="B21">
        <v>2020</v>
      </c>
      <c r="C21" t="s">
        <v>186</v>
      </c>
      <c r="D21" t="s">
        <v>11</v>
      </c>
      <c r="E21">
        <v>36.793849999999999</v>
      </c>
      <c r="F21">
        <v>-119.61344</v>
      </c>
      <c r="H21" s="1">
        <v>110035769585</v>
      </c>
      <c r="I21" s="6" t="s">
        <v>3</v>
      </c>
      <c r="J21" s="4">
        <v>11.416740920000001</v>
      </c>
      <c r="K21" s="1">
        <v>18030009008092</v>
      </c>
      <c r="L21" t="s">
        <v>10</v>
      </c>
      <c r="O21">
        <v>0</v>
      </c>
      <c r="P21" t="s">
        <v>196</v>
      </c>
      <c r="Q21" t="s">
        <v>196</v>
      </c>
      <c r="R21" t="s">
        <v>196</v>
      </c>
      <c r="S21" t="s">
        <v>193</v>
      </c>
      <c r="T21" t="s">
        <v>196</v>
      </c>
      <c r="U21" t="s">
        <v>196</v>
      </c>
      <c r="V21">
        <v>17149790</v>
      </c>
      <c r="W21" t="s">
        <v>196</v>
      </c>
      <c r="X21">
        <v>3</v>
      </c>
      <c r="Y21">
        <v>0.14199999999999999</v>
      </c>
      <c r="Z21">
        <v>0.76700000000000002</v>
      </c>
      <c r="AA21">
        <v>0.48399999999999999</v>
      </c>
      <c r="AB21">
        <v>0.33900000000000002</v>
      </c>
      <c r="AC21">
        <v>9.7000000000000003E-2</v>
      </c>
      <c r="AD21">
        <v>5.6000000000000001E-2</v>
      </c>
      <c r="AE21">
        <v>4.0000000000000001E-3</v>
      </c>
      <c r="AF21">
        <v>5.0000000000000001E-3</v>
      </c>
      <c r="AG21">
        <v>0</v>
      </c>
      <c r="AH21">
        <v>8.0000000000000002E-3</v>
      </c>
      <c r="AI21">
        <v>0.121</v>
      </c>
      <c r="AJ21">
        <v>0.48099999999999998</v>
      </c>
      <c r="AK21">
        <v>0.66900000000000004</v>
      </c>
      <c r="AL21" t="s">
        <v>490</v>
      </c>
      <c r="AM21">
        <v>-1</v>
      </c>
      <c r="AN21">
        <v>9.7799511002445005E-3</v>
      </c>
      <c r="AO21" t="s">
        <v>525</v>
      </c>
      <c r="AP21">
        <v>3.5537044011327998E-2</v>
      </c>
      <c r="AQ21" t="s">
        <v>526</v>
      </c>
      <c r="AR21">
        <v>4.4278157860709998E-3</v>
      </c>
      <c r="AS21" t="s">
        <v>218</v>
      </c>
      <c r="AT21" s="10">
        <v>11416740920</v>
      </c>
      <c r="AU21" s="10">
        <v>32883.429832957801</v>
      </c>
      <c r="AV21" s="10">
        <v>321263.09988981503</v>
      </c>
      <c r="AW21" s="10">
        <v>2578413.7081571301</v>
      </c>
      <c r="AX21" s="10">
        <v>1167361.7590699999</v>
      </c>
      <c r="AY21" s="10">
        <f t="shared" si="0"/>
        <v>122781.60515033953</v>
      </c>
      <c r="AZ21" s="10">
        <v>1096.11432776526</v>
      </c>
      <c r="BA21" s="10">
        <v>10708.769996327201</v>
      </c>
      <c r="BB21" s="10">
        <v>85947.123605237706</v>
      </c>
      <c r="BC21" s="10">
        <v>38912.058635666697</v>
      </c>
      <c r="BD21" s="10">
        <v>131.53371933183101</v>
      </c>
      <c r="BE21" s="10">
        <v>1285.05239955926</v>
      </c>
      <c r="BF21" s="10">
        <v>10313.654832628499</v>
      </c>
      <c r="BH21" s="10" t="s">
        <v>196</v>
      </c>
      <c r="BI21" s="10" t="e">
        <f t="shared" si="1"/>
        <v>#VALUE!</v>
      </c>
      <c r="BJ21" s="10"/>
      <c r="BK21" s="10"/>
      <c r="BL21" s="10"/>
      <c r="BM21" s="10"/>
    </row>
    <row r="22" spans="1:65" x14ac:dyDescent="0.25">
      <c r="A22">
        <v>20</v>
      </c>
      <c r="B22">
        <v>2017</v>
      </c>
      <c r="C22" t="s">
        <v>186</v>
      </c>
      <c r="D22" t="s">
        <v>566</v>
      </c>
      <c r="E22">
        <v>39.682361999999998</v>
      </c>
      <c r="F22">
        <v>-75.491378999999995</v>
      </c>
      <c r="G22" t="s">
        <v>75</v>
      </c>
      <c r="H22" s="1">
        <v>110007970142</v>
      </c>
      <c r="I22" s="6" t="s">
        <v>187</v>
      </c>
      <c r="J22" s="4">
        <v>10.55</v>
      </c>
      <c r="K22" s="1">
        <v>2040206002333</v>
      </c>
      <c r="L22" t="s">
        <v>74</v>
      </c>
      <c r="M22" t="s">
        <v>567</v>
      </c>
      <c r="N22" t="s">
        <v>568</v>
      </c>
      <c r="O22">
        <v>0</v>
      </c>
      <c r="P22" t="s">
        <v>196</v>
      </c>
      <c r="Q22" t="s">
        <v>196</v>
      </c>
      <c r="R22" t="s">
        <v>196</v>
      </c>
      <c r="S22" t="s">
        <v>193</v>
      </c>
      <c r="T22" t="s">
        <v>196</v>
      </c>
      <c r="U22" t="s">
        <v>196</v>
      </c>
      <c r="V22">
        <v>24903448</v>
      </c>
      <c r="W22" t="s">
        <v>196</v>
      </c>
      <c r="X22">
        <v>4</v>
      </c>
      <c r="Y22">
        <v>4.4189999999999996</v>
      </c>
      <c r="Z22">
        <v>18.727</v>
      </c>
      <c r="AA22">
        <v>36.804000000000002</v>
      </c>
      <c r="AB22">
        <v>30.074999999999999</v>
      </c>
      <c r="AC22">
        <v>7.0010000000000003</v>
      </c>
      <c r="AD22">
        <v>5.41</v>
      </c>
      <c r="AE22">
        <v>4.1749999999999998</v>
      </c>
      <c r="AF22">
        <v>2.6859999999999999</v>
      </c>
      <c r="AG22">
        <v>2.2730000000000001</v>
      </c>
      <c r="AH22">
        <v>2.9660000000000002</v>
      </c>
      <c r="AI22">
        <v>3.1640000000000001</v>
      </c>
      <c r="AJ22">
        <v>3.5430000000000001</v>
      </c>
      <c r="AK22">
        <v>7.032</v>
      </c>
      <c r="AL22" t="s">
        <v>490</v>
      </c>
      <c r="AM22">
        <v>-1</v>
      </c>
      <c r="AN22">
        <v>5.5574572127139401</v>
      </c>
      <c r="AO22" t="s">
        <v>525</v>
      </c>
      <c r="AP22">
        <v>6.7750849109634697</v>
      </c>
      <c r="AQ22" t="s">
        <v>526</v>
      </c>
      <c r="AR22">
        <v>3.14549339172068</v>
      </c>
      <c r="AS22" t="s">
        <v>218</v>
      </c>
      <c r="AT22" s="10">
        <v>10550000000</v>
      </c>
      <c r="AU22" s="10">
        <v>976.45394885720702</v>
      </c>
      <c r="AV22" s="10">
        <v>1557.1760558938399</v>
      </c>
      <c r="AW22" s="10">
        <v>3354.0048209189899</v>
      </c>
      <c r="AX22" s="10">
        <v>1898.35019797624</v>
      </c>
      <c r="AY22" s="10">
        <f t="shared" si="0"/>
        <v>159.71451528185668</v>
      </c>
      <c r="AZ22" s="10">
        <v>32.548464961906902</v>
      </c>
      <c r="BA22" s="10">
        <v>51.905868529794802</v>
      </c>
      <c r="BB22" s="10">
        <v>111.8001606973</v>
      </c>
      <c r="BC22" s="10">
        <v>63.2783399325414</v>
      </c>
      <c r="BD22" s="10">
        <v>3.90581579542883</v>
      </c>
      <c r="BE22" s="10">
        <v>6.22870422357538</v>
      </c>
      <c r="BF22" s="10">
        <v>13.416019283676</v>
      </c>
      <c r="BH22" s="10" t="s">
        <v>196</v>
      </c>
      <c r="BI22" s="10" t="e">
        <f t="shared" si="1"/>
        <v>#VALUE!</v>
      </c>
      <c r="BJ22" s="10"/>
      <c r="BK22" s="10"/>
      <c r="BL22" s="10"/>
      <c r="BM22" s="10"/>
    </row>
    <row r="23" spans="1:65" x14ac:dyDescent="0.25">
      <c r="A23">
        <v>21</v>
      </c>
      <c r="B23">
        <v>2018</v>
      </c>
      <c r="C23" t="s">
        <v>186</v>
      </c>
      <c r="D23" t="s">
        <v>569</v>
      </c>
      <c r="E23">
        <v>39.271943999999998</v>
      </c>
      <c r="F23">
        <v>-81.661666999999994</v>
      </c>
      <c r="G23" t="s">
        <v>124</v>
      </c>
      <c r="H23" s="1">
        <v>110000586081</v>
      </c>
      <c r="I23" s="6" t="s">
        <v>188</v>
      </c>
      <c r="J23" s="4">
        <v>9.4353741499999995</v>
      </c>
      <c r="K23" s="1">
        <v>5030203000005</v>
      </c>
      <c r="L23" t="s">
        <v>570</v>
      </c>
      <c r="M23" t="s">
        <v>571</v>
      </c>
      <c r="N23" t="s">
        <v>572</v>
      </c>
      <c r="O23">
        <v>0</v>
      </c>
      <c r="P23" t="s">
        <v>196</v>
      </c>
      <c r="Q23" t="s">
        <v>196</v>
      </c>
      <c r="R23" t="s">
        <v>196</v>
      </c>
      <c r="S23" t="s">
        <v>193</v>
      </c>
      <c r="T23" t="s">
        <v>196</v>
      </c>
      <c r="U23" t="s">
        <v>196</v>
      </c>
      <c r="V23">
        <v>19413971</v>
      </c>
      <c r="W23" t="s">
        <v>573</v>
      </c>
      <c r="X23">
        <v>1</v>
      </c>
      <c r="Y23">
        <v>1.9650000000000001</v>
      </c>
      <c r="Z23">
        <v>6.4550000000000001</v>
      </c>
      <c r="AA23">
        <v>16.655000000000001</v>
      </c>
      <c r="AB23">
        <v>5.6429999999999998</v>
      </c>
      <c r="AC23">
        <v>2.8570000000000002</v>
      </c>
      <c r="AD23">
        <v>2.1240000000000001</v>
      </c>
      <c r="AE23">
        <v>1.3979999999999999</v>
      </c>
      <c r="AF23">
        <v>1.0089999999999999</v>
      </c>
      <c r="AG23">
        <v>0.74099999999999999</v>
      </c>
      <c r="AH23">
        <v>0.81100000000000005</v>
      </c>
      <c r="AI23">
        <v>0.79900000000000004</v>
      </c>
      <c r="AJ23">
        <v>1.6559999999999999</v>
      </c>
      <c r="AK23">
        <v>3.165</v>
      </c>
      <c r="AL23" t="s">
        <v>490</v>
      </c>
      <c r="AM23">
        <v>-1</v>
      </c>
      <c r="AN23">
        <v>1.81173594132029</v>
      </c>
      <c r="AO23" t="s">
        <v>525</v>
      </c>
      <c r="AP23">
        <v>2.43374676063697</v>
      </c>
      <c r="AQ23" t="s">
        <v>526</v>
      </c>
      <c r="AR23">
        <v>0.98576376494823903</v>
      </c>
      <c r="AS23" t="s">
        <v>218</v>
      </c>
      <c r="AT23" s="10">
        <v>9435374150</v>
      </c>
      <c r="AU23" s="10">
        <v>1963.90230399491</v>
      </c>
      <c r="AV23" s="10">
        <v>3876.8923302153798</v>
      </c>
      <c r="AW23" s="10">
        <v>9571.6382418412795</v>
      </c>
      <c r="AX23" s="10">
        <v>5207.91906524966</v>
      </c>
      <c r="AY23" s="10">
        <f t="shared" si="0"/>
        <v>455.79229723053714</v>
      </c>
      <c r="AZ23" s="10">
        <v>65.463410133163705</v>
      </c>
      <c r="BA23" s="10">
        <v>129.22974434051301</v>
      </c>
      <c r="BB23" s="10">
        <v>319.05460806137597</v>
      </c>
      <c r="BC23" s="10">
        <v>173.59730217498901</v>
      </c>
      <c r="BD23" s="10">
        <v>7.8556092159796398</v>
      </c>
      <c r="BE23" s="10">
        <v>15.507569320861499</v>
      </c>
      <c r="BF23" s="10">
        <v>38.286552967365097</v>
      </c>
      <c r="BH23" s="10">
        <v>2.4775578023061201E-5</v>
      </c>
      <c r="BI23" s="10">
        <f t="shared" si="1"/>
        <v>3.8420899365703429E-4</v>
      </c>
      <c r="BJ23" s="10"/>
      <c r="BK23" s="10"/>
      <c r="BL23" s="10"/>
      <c r="BM23" s="10"/>
    </row>
    <row r="24" spans="1:65" x14ac:dyDescent="0.25">
      <c r="A24">
        <v>22</v>
      </c>
      <c r="B24">
        <v>2018</v>
      </c>
      <c r="C24" t="s">
        <v>186</v>
      </c>
      <c r="D24" t="s">
        <v>155</v>
      </c>
      <c r="E24">
        <v>36.848332999999997</v>
      </c>
      <c r="F24">
        <v>-83.905000000000001</v>
      </c>
      <c r="H24" s="1">
        <v>110006644765</v>
      </c>
      <c r="I24" s="6" t="s">
        <v>3</v>
      </c>
      <c r="J24" s="4">
        <v>8.8417600000000007</v>
      </c>
      <c r="K24" s="1">
        <v>5130101000215</v>
      </c>
      <c r="L24" t="s">
        <v>574</v>
      </c>
      <c r="M24" t="s">
        <v>154</v>
      </c>
      <c r="O24">
        <v>0</v>
      </c>
      <c r="P24" t="s">
        <v>196</v>
      </c>
      <c r="Q24" t="s">
        <v>196</v>
      </c>
      <c r="R24" t="s">
        <v>196</v>
      </c>
      <c r="S24" t="s">
        <v>193</v>
      </c>
      <c r="T24" t="s">
        <v>196</v>
      </c>
      <c r="U24" t="s">
        <v>196</v>
      </c>
      <c r="V24">
        <v>10188648</v>
      </c>
      <c r="W24" t="s">
        <v>575</v>
      </c>
      <c r="X24">
        <v>5</v>
      </c>
      <c r="Y24">
        <v>1899.22</v>
      </c>
      <c r="Z24">
        <v>3167.5149999999999</v>
      </c>
      <c r="AA24">
        <v>3449.61</v>
      </c>
      <c r="AB24">
        <v>3706.9679999999998</v>
      </c>
      <c r="AC24">
        <v>2650.01</v>
      </c>
      <c r="AD24">
        <v>2388.585</v>
      </c>
      <c r="AE24">
        <v>1206.9169999999999</v>
      </c>
      <c r="AF24">
        <v>619.84400000000005</v>
      </c>
      <c r="AG24">
        <v>486.07600000000002</v>
      </c>
      <c r="AH24">
        <v>417.37599999999998</v>
      </c>
      <c r="AI24">
        <v>476.654</v>
      </c>
      <c r="AJ24">
        <v>1541.691</v>
      </c>
      <c r="AK24">
        <v>2740.2109999999998</v>
      </c>
      <c r="AL24" t="s">
        <v>491</v>
      </c>
      <c r="AM24">
        <v>-1</v>
      </c>
      <c r="AN24">
        <v>1020.47921760391</v>
      </c>
      <c r="AO24" t="s">
        <v>525</v>
      </c>
      <c r="AP24">
        <v>2344.8760914274699</v>
      </c>
      <c r="AQ24" t="s">
        <v>526</v>
      </c>
      <c r="AR24">
        <v>693.91628684709201</v>
      </c>
      <c r="AS24" t="s">
        <v>218</v>
      </c>
      <c r="AT24" s="10">
        <v>8841760000</v>
      </c>
      <c r="AU24" s="10">
        <v>1.9040868567096001</v>
      </c>
      <c r="AV24" s="10">
        <v>3.7706725879138001</v>
      </c>
      <c r="AW24" s="10">
        <v>12.741825156134899</v>
      </c>
      <c r="AX24" s="10">
        <v>8.6643214751207491</v>
      </c>
      <c r="AY24" s="10">
        <f t="shared" si="0"/>
        <v>0.60675357886356662</v>
      </c>
      <c r="AZ24" s="10">
        <v>6.3469561890319895E-2</v>
      </c>
      <c r="BA24" s="10">
        <v>0.12568908626379299</v>
      </c>
      <c r="BB24" s="10">
        <v>0.42472750520449598</v>
      </c>
      <c r="BC24" s="10">
        <v>0.28881071583735801</v>
      </c>
      <c r="BD24" s="10">
        <v>7.61634742683839E-3</v>
      </c>
      <c r="BE24" s="10">
        <v>1.5082690351655201E-2</v>
      </c>
      <c r="BF24" s="10">
        <v>5.0967300624539601E-2</v>
      </c>
      <c r="BH24" s="10">
        <v>0.68456691289958205</v>
      </c>
      <c r="BI24" s="10">
        <f t="shared" si="1"/>
        <v>1.0325110772252913E-2</v>
      </c>
      <c r="BJ24" s="10"/>
      <c r="BK24" s="10"/>
      <c r="BL24" s="10"/>
      <c r="BM24" s="10"/>
    </row>
    <row r="25" spans="1:65" x14ac:dyDescent="0.25">
      <c r="A25">
        <v>23</v>
      </c>
      <c r="B25">
        <v>2018</v>
      </c>
      <c r="C25" t="s">
        <v>186</v>
      </c>
      <c r="D25" t="s">
        <v>184</v>
      </c>
      <c r="E25">
        <v>40.612743000000002</v>
      </c>
      <c r="F25">
        <v>-74.260920999999996</v>
      </c>
      <c r="G25" t="s">
        <v>185</v>
      </c>
      <c r="H25" s="1">
        <v>110000492020</v>
      </c>
      <c r="I25" s="6" t="s">
        <v>189</v>
      </c>
      <c r="J25" s="4">
        <v>6.7204092649999998</v>
      </c>
      <c r="K25" s="1">
        <v>2030104000565</v>
      </c>
      <c r="L25" t="s">
        <v>183</v>
      </c>
      <c r="M25" t="s">
        <v>576</v>
      </c>
      <c r="O25">
        <v>0</v>
      </c>
      <c r="P25" t="s">
        <v>196</v>
      </c>
      <c r="Q25" t="s">
        <v>196</v>
      </c>
      <c r="R25" t="s">
        <v>196</v>
      </c>
      <c r="S25" t="s">
        <v>193</v>
      </c>
      <c r="T25" t="s">
        <v>196</v>
      </c>
      <c r="U25" t="s">
        <v>196</v>
      </c>
      <c r="V25">
        <v>6261672</v>
      </c>
      <c r="W25" t="s">
        <v>577</v>
      </c>
      <c r="X25">
        <v>4</v>
      </c>
      <c r="Y25">
        <v>111.90600000000001</v>
      </c>
      <c r="Z25">
        <v>124.693</v>
      </c>
      <c r="AA25">
        <v>80.02</v>
      </c>
      <c r="AB25">
        <v>131.93100000000001</v>
      </c>
      <c r="AC25">
        <v>153.38800000000001</v>
      </c>
      <c r="AD25">
        <v>111.851</v>
      </c>
      <c r="AE25">
        <v>77.665999999999997</v>
      </c>
      <c r="AF25">
        <v>86.438999999999993</v>
      </c>
      <c r="AG25">
        <v>69.760999999999996</v>
      </c>
      <c r="AH25">
        <v>71.227999999999994</v>
      </c>
      <c r="AI25">
        <v>52.933</v>
      </c>
      <c r="AJ25">
        <v>98.075000000000003</v>
      </c>
      <c r="AK25">
        <v>131.12899999999999</v>
      </c>
      <c r="AL25" t="s">
        <v>492</v>
      </c>
      <c r="AM25">
        <v>-1</v>
      </c>
      <c r="AN25">
        <v>129.42053789731099</v>
      </c>
      <c r="AO25" t="s">
        <v>525</v>
      </c>
      <c r="AP25">
        <v>188.80005001495201</v>
      </c>
      <c r="AQ25" t="s">
        <v>526</v>
      </c>
      <c r="AR25">
        <v>81.834931433769796</v>
      </c>
      <c r="AS25" t="s">
        <v>218</v>
      </c>
      <c r="AT25" s="10">
        <v>6720409265</v>
      </c>
      <c r="AU25" s="10">
        <v>24.562109175423998</v>
      </c>
      <c r="AV25" s="10">
        <v>35.5953786265828</v>
      </c>
      <c r="AW25" s="10">
        <v>82.121523746114804</v>
      </c>
      <c r="AX25" s="10">
        <v>51.926914956359902</v>
      </c>
      <c r="AY25" s="10">
        <f t="shared" si="0"/>
        <v>3.9105487498149905</v>
      </c>
      <c r="AZ25" s="10">
        <v>0.81873697251413402</v>
      </c>
      <c r="BA25" s="10">
        <v>1.1865126208860901</v>
      </c>
      <c r="BB25" s="10">
        <v>2.73738412487049</v>
      </c>
      <c r="BC25" s="10">
        <v>1.730897165212</v>
      </c>
      <c r="BD25" s="10">
        <v>9.8248436701696099E-2</v>
      </c>
      <c r="BE25" s="10">
        <v>0.14238151450633099</v>
      </c>
      <c r="BF25" s="10">
        <v>0.32848609498445902</v>
      </c>
      <c r="BH25" s="10" t="s">
        <v>196</v>
      </c>
      <c r="BI25" s="10" t="e">
        <f t="shared" si="1"/>
        <v>#VALUE!</v>
      </c>
      <c r="BJ25" s="10"/>
      <c r="BK25" s="10"/>
      <c r="BL25" s="10"/>
      <c r="BM25" s="10"/>
    </row>
    <row r="26" spans="1:65" x14ac:dyDescent="0.25">
      <c r="A26">
        <v>24</v>
      </c>
      <c r="B26">
        <v>2015</v>
      </c>
      <c r="C26" t="s">
        <v>186</v>
      </c>
      <c r="D26" t="s">
        <v>77</v>
      </c>
      <c r="E26">
        <v>39.845474000000003</v>
      </c>
      <c r="F26">
        <v>-75.209485999999998</v>
      </c>
      <c r="G26" t="s">
        <v>78</v>
      </c>
      <c r="H26" s="1">
        <v>110013317614</v>
      </c>
      <c r="I26" s="6" t="s">
        <v>188</v>
      </c>
      <c r="J26" s="4">
        <v>6.5595999999999997</v>
      </c>
      <c r="K26" s="1">
        <v>2040202001763</v>
      </c>
      <c r="L26" t="s">
        <v>578</v>
      </c>
      <c r="M26" t="s">
        <v>76</v>
      </c>
      <c r="O26">
        <v>0</v>
      </c>
      <c r="P26" t="s">
        <v>196</v>
      </c>
      <c r="Q26" t="s">
        <v>196</v>
      </c>
      <c r="R26" t="s">
        <v>196</v>
      </c>
      <c r="S26" t="s">
        <v>193</v>
      </c>
      <c r="T26" t="s">
        <v>196</v>
      </c>
      <c r="U26" t="s">
        <v>196</v>
      </c>
      <c r="V26">
        <v>4496190</v>
      </c>
      <c r="W26" t="s">
        <v>196</v>
      </c>
      <c r="X26">
        <v>1</v>
      </c>
      <c r="Y26">
        <v>0.99</v>
      </c>
      <c r="Z26">
        <v>5.2789999999999999</v>
      </c>
      <c r="AA26">
        <v>12.69</v>
      </c>
      <c r="AB26">
        <v>9.1340000000000003</v>
      </c>
      <c r="AC26">
        <v>1.65</v>
      </c>
      <c r="AD26">
        <v>1.304</v>
      </c>
      <c r="AE26">
        <v>1.0820000000000001</v>
      </c>
      <c r="AF26">
        <v>0.76900000000000002</v>
      </c>
      <c r="AG26">
        <v>0.66500000000000004</v>
      </c>
      <c r="AH26">
        <v>0.96599999999999997</v>
      </c>
      <c r="AI26">
        <v>1.099</v>
      </c>
      <c r="AJ26">
        <v>0.72699999999999998</v>
      </c>
      <c r="AK26">
        <v>1.5660000000000001</v>
      </c>
      <c r="AL26" t="s">
        <v>490</v>
      </c>
      <c r="AM26">
        <v>-1</v>
      </c>
      <c r="AN26">
        <v>1.6259168704156499</v>
      </c>
      <c r="AO26" t="s">
        <v>525</v>
      </c>
      <c r="AP26">
        <v>1.6542269067057001</v>
      </c>
      <c r="AQ26" t="s">
        <v>526</v>
      </c>
      <c r="AR26">
        <v>0.88129642516305795</v>
      </c>
      <c r="AS26" t="s">
        <v>218</v>
      </c>
      <c r="AT26" s="10">
        <v>6559600000</v>
      </c>
      <c r="AU26" s="10">
        <v>2709.97616161616</v>
      </c>
      <c r="AV26" s="10">
        <v>3965.3568524423699</v>
      </c>
      <c r="AW26" s="10">
        <v>7443.1256189270698</v>
      </c>
      <c r="AX26" s="10">
        <v>4034.4006015037598</v>
      </c>
      <c r="AY26" s="10">
        <f t="shared" si="0"/>
        <v>354.43455328224144</v>
      </c>
      <c r="AZ26" s="10">
        <v>90.332538720538693</v>
      </c>
      <c r="BA26" s="10">
        <v>132.17856174807901</v>
      </c>
      <c r="BB26" s="10">
        <v>248.10418729756901</v>
      </c>
      <c r="BC26" s="10">
        <v>134.48002005012501</v>
      </c>
      <c r="BD26" s="10">
        <v>10.8399046464646</v>
      </c>
      <c r="BE26" s="10">
        <v>15.861427409769499</v>
      </c>
      <c r="BF26" s="10">
        <v>29.772502475708301</v>
      </c>
      <c r="BH26" s="10" t="s">
        <v>196</v>
      </c>
      <c r="BI26" s="10" t="e">
        <f t="shared" si="1"/>
        <v>#VALUE!</v>
      </c>
      <c r="BJ26" s="10"/>
      <c r="BK26" s="10"/>
      <c r="BL26" s="10"/>
      <c r="BM26" s="10"/>
    </row>
    <row r="27" spans="1:65" x14ac:dyDescent="0.25">
      <c r="A27">
        <v>25</v>
      </c>
      <c r="B27">
        <v>2018</v>
      </c>
      <c r="C27" t="s">
        <v>186</v>
      </c>
      <c r="D27" t="s">
        <v>67</v>
      </c>
      <c r="E27">
        <v>39.121471999999997</v>
      </c>
      <c r="F27">
        <v>-94.473416999999998</v>
      </c>
      <c r="G27" t="s">
        <v>68</v>
      </c>
      <c r="H27" s="1">
        <v>110000443226</v>
      </c>
      <c r="I27" s="6" t="s">
        <v>189</v>
      </c>
      <c r="J27" s="4">
        <v>4.9659863949999998</v>
      </c>
      <c r="K27" s="1">
        <v>10300101003208</v>
      </c>
      <c r="L27" t="s">
        <v>579</v>
      </c>
      <c r="M27" t="s">
        <v>580</v>
      </c>
      <c r="N27" t="s">
        <v>66</v>
      </c>
      <c r="O27">
        <v>0</v>
      </c>
      <c r="P27" t="s">
        <v>196</v>
      </c>
      <c r="Q27" t="s">
        <v>196</v>
      </c>
      <c r="R27" t="s">
        <v>196</v>
      </c>
      <c r="S27" t="s">
        <v>193</v>
      </c>
      <c r="T27" t="s">
        <v>196</v>
      </c>
      <c r="U27" t="s">
        <v>196</v>
      </c>
      <c r="V27">
        <v>4391195</v>
      </c>
      <c r="W27" t="s">
        <v>581</v>
      </c>
      <c r="X27">
        <v>5</v>
      </c>
      <c r="Y27">
        <v>253.75800000000001</v>
      </c>
      <c r="Z27">
        <v>174.33600000000001</v>
      </c>
      <c r="AA27">
        <v>243.46600000000001</v>
      </c>
      <c r="AB27">
        <v>331.37599999999998</v>
      </c>
      <c r="AC27">
        <v>367.05399999999997</v>
      </c>
      <c r="AD27">
        <v>438.202</v>
      </c>
      <c r="AE27">
        <v>339.23200000000003</v>
      </c>
      <c r="AF27">
        <v>193.428</v>
      </c>
      <c r="AG27">
        <v>106.34399999999999</v>
      </c>
      <c r="AH27">
        <v>246.04400000000001</v>
      </c>
      <c r="AI27">
        <v>179.04</v>
      </c>
      <c r="AJ27">
        <v>229.64699999999999</v>
      </c>
      <c r="AK27">
        <v>231.54400000000001</v>
      </c>
      <c r="AL27" t="s">
        <v>490</v>
      </c>
      <c r="AM27">
        <v>-1</v>
      </c>
      <c r="AN27">
        <v>260.00977995109997</v>
      </c>
      <c r="AO27" t="s">
        <v>525</v>
      </c>
      <c r="AP27">
        <v>414.30548737410498</v>
      </c>
      <c r="AQ27" t="s">
        <v>526</v>
      </c>
      <c r="AR27">
        <v>168.496285120674</v>
      </c>
      <c r="AS27" t="s">
        <v>218</v>
      </c>
      <c r="AT27" s="10">
        <v>4965986395</v>
      </c>
      <c r="AU27" s="10">
        <v>8.0040370571765198</v>
      </c>
      <c r="AV27" s="10">
        <v>11.986291628611401</v>
      </c>
      <c r="AW27" s="10">
        <v>29.472379117696601</v>
      </c>
      <c r="AX27" s="10">
        <v>19.099229251814901</v>
      </c>
      <c r="AY27" s="10">
        <f t="shared" si="0"/>
        <v>1.403446624652219</v>
      </c>
      <c r="AZ27" s="10">
        <v>0.26680123523921701</v>
      </c>
      <c r="BA27" s="10">
        <v>0.39954305428704701</v>
      </c>
      <c r="BB27" s="10">
        <v>0.98241263725655403</v>
      </c>
      <c r="BC27" s="10">
        <v>0.63664097506049599</v>
      </c>
      <c r="BD27" s="10">
        <v>3.2016148228706097E-2</v>
      </c>
      <c r="BE27" s="10">
        <v>4.7945166514445602E-2</v>
      </c>
      <c r="BF27" s="10">
        <v>0.11788951647078701</v>
      </c>
      <c r="BH27" s="10">
        <v>4.0526455195243902E-3</v>
      </c>
      <c r="BI27" s="10">
        <f t="shared" si="1"/>
        <v>1.9430476425761879E-4</v>
      </c>
      <c r="BJ27" s="10"/>
      <c r="BK27" s="10"/>
      <c r="BL27" s="10"/>
      <c r="BM27" s="10"/>
    </row>
    <row r="28" spans="1:65" x14ac:dyDescent="0.25">
      <c r="A28">
        <v>26</v>
      </c>
      <c r="B28">
        <v>2017</v>
      </c>
      <c r="C28" t="s">
        <v>186</v>
      </c>
      <c r="D28" t="s">
        <v>47</v>
      </c>
      <c r="E28">
        <v>30.221900000000002</v>
      </c>
      <c r="F28">
        <v>-91.051500000000004</v>
      </c>
      <c r="G28" t="s">
        <v>48</v>
      </c>
      <c r="H28" s="1">
        <v>110033659878</v>
      </c>
      <c r="I28" s="6" t="s">
        <v>187</v>
      </c>
      <c r="J28" s="4">
        <v>4.9659863949999998</v>
      </c>
      <c r="K28" s="1">
        <v>8070202002309</v>
      </c>
      <c r="L28" t="s">
        <v>582</v>
      </c>
      <c r="M28" t="s">
        <v>46</v>
      </c>
      <c r="O28">
        <v>0</v>
      </c>
      <c r="P28" t="s">
        <v>196</v>
      </c>
      <c r="Q28" t="s">
        <v>196</v>
      </c>
      <c r="R28" t="s">
        <v>196</v>
      </c>
      <c r="S28" t="s">
        <v>193</v>
      </c>
      <c r="T28" t="s">
        <v>196</v>
      </c>
      <c r="U28" t="s">
        <v>196</v>
      </c>
      <c r="V28">
        <v>18991380</v>
      </c>
      <c r="W28" t="s">
        <v>196</v>
      </c>
      <c r="X28">
        <v>1</v>
      </c>
      <c r="Y28">
        <v>0.45700000000000002</v>
      </c>
      <c r="Z28">
        <v>0.69899999999999995</v>
      </c>
      <c r="AA28">
        <v>0.72199999999999998</v>
      </c>
      <c r="AB28">
        <v>0.626</v>
      </c>
      <c r="AC28">
        <v>0.67200000000000004</v>
      </c>
      <c r="AD28">
        <v>0.39800000000000002</v>
      </c>
      <c r="AE28">
        <v>0.23300000000000001</v>
      </c>
      <c r="AF28">
        <v>6.6000000000000003E-2</v>
      </c>
      <c r="AG28">
        <v>6.7000000000000004E-2</v>
      </c>
      <c r="AH28">
        <v>0.11899999999999999</v>
      </c>
      <c r="AI28">
        <v>0.56599999999999995</v>
      </c>
      <c r="AJ28">
        <v>2.3540000000000001</v>
      </c>
      <c r="AK28">
        <v>0.66400000000000003</v>
      </c>
      <c r="AL28" t="s">
        <v>489</v>
      </c>
      <c r="AM28">
        <v>-1</v>
      </c>
      <c r="AN28">
        <v>0.161369193154034</v>
      </c>
      <c r="AO28" t="s">
        <v>525</v>
      </c>
      <c r="AP28">
        <v>0.30654667730477603</v>
      </c>
      <c r="AQ28" t="s">
        <v>526</v>
      </c>
      <c r="AR28">
        <v>8.0635990187858497E-2</v>
      </c>
      <c r="AS28" t="s">
        <v>218</v>
      </c>
      <c r="AT28" s="10">
        <v>4965986395</v>
      </c>
      <c r="AU28" s="10">
        <v>4444.3948261597398</v>
      </c>
      <c r="AV28" s="10">
        <v>16199.7723761419</v>
      </c>
      <c r="AW28" s="10">
        <v>61585.2348737914</v>
      </c>
      <c r="AX28" s="10">
        <v>30774.0672053788</v>
      </c>
      <c r="AY28" s="10">
        <f t="shared" si="0"/>
        <v>2932.6302320853047</v>
      </c>
      <c r="AZ28" s="10">
        <v>148.14649420532501</v>
      </c>
      <c r="BA28" s="10">
        <v>539.99241253806497</v>
      </c>
      <c r="BB28" s="10">
        <v>2052.8411624597102</v>
      </c>
      <c r="BC28" s="10">
        <v>1025.80224017929</v>
      </c>
      <c r="BD28" s="10">
        <v>17.777579304639001</v>
      </c>
      <c r="BE28" s="10">
        <v>64.799089504567704</v>
      </c>
      <c r="BF28" s="10">
        <v>246.340939495165</v>
      </c>
      <c r="BH28" s="10" t="s">
        <v>196</v>
      </c>
      <c r="BI28" s="10" t="e">
        <f t="shared" si="1"/>
        <v>#VALUE!</v>
      </c>
      <c r="BJ28" s="10"/>
      <c r="BK28" s="10"/>
      <c r="BL28" s="10"/>
      <c r="BM28" s="10"/>
    </row>
    <row r="29" spans="1:65" x14ac:dyDescent="0.25">
      <c r="A29">
        <v>27</v>
      </c>
      <c r="B29">
        <v>2016</v>
      </c>
      <c r="C29" t="s">
        <v>186</v>
      </c>
      <c r="D29" t="s">
        <v>583</v>
      </c>
      <c r="E29">
        <v>38.386439000000003</v>
      </c>
      <c r="F29">
        <v>-81.798439999999999</v>
      </c>
      <c r="H29" s="1">
        <v>110064632312</v>
      </c>
      <c r="I29" s="6" t="s">
        <v>187</v>
      </c>
      <c r="J29" s="4">
        <v>4.6770582630000002</v>
      </c>
      <c r="K29" s="1">
        <v>5050008000998</v>
      </c>
      <c r="L29" t="s">
        <v>117</v>
      </c>
      <c r="O29">
        <v>0</v>
      </c>
      <c r="P29" t="s">
        <v>196</v>
      </c>
      <c r="Q29" t="s">
        <v>196</v>
      </c>
      <c r="R29" t="s">
        <v>196</v>
      </c>
      <c r="S29" t="s">
        <v>193</v>
      </c>
      <c r="T29" t="s">
        <v>196</v>
      </c>
      <c r="U29" t="s">
        <v>196</v>
      </c>
      <c r="V29">
        <v>19315482</v>
      </c>
      <c r="W29" t="s">
        <v>584</v>
      </c>
      <c r="X29">
        <v>6</v>
      </c>
      <c r="Y29">
        <v>16232.739</v>
      </c>
      <c r="Z29">
        <v>22483.478999999999</v>
      </c>
      <c r="AA29">
        <v>26859.355</v>
      </c>
      <c r="AB29">
        <v>30687.817999999999</v>
      </c>
      <c r="AC29">
        <v>22288.964</v>
      </c>
      <c r="AD29">
        <v>19951.342000000001</v>
      </c>
      <c r="AE29">
        <v>12642.388000000001</v>
      </c>
      <c r="AF29">
        <v>7748.2749999999996</v>
      </c>
      <c r="AG29">
        <v>7281.9570000000003</v>
      </c>
      <c r="AH29">
        <v>6204.2219999999998</v>
      </c>
      <c r="AI29">
        <v>8408.6170000000002</v>
      </c>
      <c r="AJ29">
        <v>12879.207</v>
      </c>
      <c r="AK29">
        <v>17808.743999999999</v>
      </c>
      <c r="AL29" t="s">
        <v>491</v>
      </c>
      <c r="AM29">
        <v>-1</v>
      </c>
      <c r="AN29">
        <v>15169.2469437653</v>
      </c>
      <c r="AO29" t="s">
        <v>525</v>
      </c>
      <c r="AP29">
        <v>30246.6230160044</v>
      </c>
      <c r="AQ29" t="s">
        <v>526</v>
      </c>
      <c r="AR29">
        <v>11342.9747321132</v>
      </c>
      <c r="AS29" t="s">
        <v>218</v>
      </c>
      <c r="AT29" s="10">
        <v>4677058263</v>
      </c>
      <c r="AU29" s="10">
        <v>0.11784313353199399</v>
      </c>
      <c r="AV29" s="10">
        <v>0.15463075863131001</v>
      </c>
      <c r="AW29" s="10">
        <v>0.41233083679175903</v>
      </c>
      <c r="AX29" s="10">
        <v>0.308325013122838</v>
      </c>
      <c r="AY29" s="10">
        <f t="shared" si="0"/>
        <v>1.9634801751988524E-2</v>
      </c>
      <c r="AZ29" s="10">
        <v>3.9281044510664498E-3</v>
      </c>
      <c r="BA29" s="10">
        <v>5.15435862104367E-3</v>
      </c>
      <c r="BB29" s="10">
        <v>1.3744361226392001E-2</v>
      </c>
      <c r="BC29" s="10">
        <v>1.02775004374279E-2</v>
      </c>
      <c r="BD29" s="10">
        <v>4.7137253412797401E-4</v>
      </c>
      <c r="BE29" s="10">
        <v>6.1852303452524003E-4</v>
      </c>
      <c r="BF29" s="10">
        <v>1.64932334716704E-3</v>
      </c>
      <c r="BH29" s="10">
        <v>0.20466946138549</v>
      </c>
      <c r="BI29" s="10">
        <f t="shared" si="1"/>
        <v>1.2659277633079972E-4</v>
      </c>
      <c r="BJ29" s="10"/>
      <c r="BK29" s="10"/>
      <c r="BL29" s="10"/>
      <c r="BM29" s="10"/>
    </row>
    <row r="30" spans="1:65" x14ac:dyDescent="0.25">
      <c r="A30">
        <v>28</v>
      </c>
      <c r="B30">
        <v>2019</v>
      </c>
      <c r="C30" t="s">
        <v>186</v>
      </c>
      <c r="D30" t="s">
        <v>585</v>
      </c>
      <c r="E30">
        <v>39.852891</v>
      </c>
      <c r="F30">
        <v>-75.225210000000004</v>
      </c>
      <c r="H30" s="1">
        <v>110064625730</v>
      </c>
      <c r="I30" s="6" t="s">
        <v>3</v>
      </c>
      <c r="J30" s="4">
        <v>4.53</v>
      </c>
      <c r="K30" s="1">
        <v>2040202000030</v>
      </c>
      <c r="L30" t="s">
        <v>586</v>
      </c>
      <c r="M30" t="s">
        <v>81</v>
      </c>
      <c r="O30">
        <v>0</v>
      </c>
      <c r="P30" t="s">
        <v>196</v>
      </c>
      <c r="Q30" t="s">
        <v>196</v>
      </c>
      <c r="R30" t="s">
        <v>196</v>
      </c>
      <c r="S30" t="s">
        <v>193</v>
      </c>
      <c r="T30" t="s">
        <v>196</v>
      </c>
      <c r="U30" t="s">
        <v>196</v>
      </c>
      <c r="V30">
        <v>4496232</v>
      </c>
      <c r="W30" t="s">
        <v>587</v>
      </c>
      <c r="X30">
        <v>3</v>
      </c>
      <c r="Y30">
        <v>62.5</v>
      </c>
      <c r="Z30">
        <v>187.381</v>
      </c>
      <c r="AA30">
        <v>250.279</v>
      </c>
      <c r="AB30">
        <v>253.44900000000001</v>
      </c>
      <c r="AC30">
        <v>99.41</v>
      </c>
      <c r="AD30">
        <v>58.231000000000002</v>
      </c>
      <c r="AE30">
        <v>40.465000000000003</v>
      </c>
      <c r="AF30">
        <v>24.257999999999999</v>
      </c>
      <c r="AG30">
        <v>21.766999999999999</v>
      </c>
      <c r="AH30">
        <v>22.873999999999999</v>
      </c>
      <c r="AI30">
        <v>21.698</v>
      </c>
      <c r="AJ30">
        <v>37.417000000000002</v>
      </c>
      <c r="AK30">
        <v>98.399000000000001</v>
      </c>
      <c r="AL30" t="s">
        <v>492</v>
      </c>
      <c r="AM30">
        <v>-1</v>
      </c>
      <c r="AN30">
        <v>53.051344743276303</v>
      </c>
      <c r="AO30" t="s">
        <v>525</v>
      </c>
      <c r="AP30">
        <v>86.104693728046698</v>
      </c>
      <c r="AQ30" t="s">
        <v>526</v>
      </c>
      <c r="AR30">
        <v>32.508633905665803</v>
      </c>
      <c r="AS30" t="s">
        <v>218</v>
      </c>
      <c r="AT30" s="10">
        <v>4530000000</v>
      </c>
      <c r="AU30" s="10">
        <v>29.64432</v>
      </c>
      <c r="AV30" s="10">
        <v>52.610372371889099</v>
      </c>
      <c r="AW30" s="10">
        <v>139.34759649221999</v>
      </c>
      <c r="AX30" s="10">
        <v>85.388975942483199</v>
      </c>
      <c r="AY30" s="10">
        <f t="shared" si="0"/>
        <v>6.6355998329628569</v>
      </c>
      <c r="AZ30" s="10">
        <v>0.98814400000000002</v>
      </c>
      <c r="BA30" s="10">
        <v>1.7536790790629699</v>
      </c>
      <c r="BB30" s="10">
        <v>4.6449198830739897</v>
      </c>
      <c r="BC30" s="10">
        <v>2.8462991980827699</v>
      </c>
      <c r="BD30" s="10">
        <v>0.11857727999999999</v>
      </c>
      <c r="BE30" s="10">
        <v>0.210441489487556</v>
      </c>
      <c r="BF30" s="10">
        <v>0.55739038596887802</v>
      </c>
      <c r="BH30" s="10" t="s">
        <v>196</v>
      </c>
      <c r="BI30" s="10" t="e">
        <f t="shared" si="1"/>
        <v>#VALUE!</v>
      </c>
      <c r="BJ30" s="10"/>
      <c r="BK30" s="10"/>
      <c r="BL30" s="10"/>
      <c r="BM30" s="10"/>
    </row>
    <row r="31" spans="1:65" x14ac:dyDescent="0.25">
      <c r="A31">
        <v>29</v>
      </c>
      <c r="B31">
        <v>2017</v>
      </c>
      <c r="C31" t="s">
        <v>186</v>
      </c>
      <c r="D31" t="s">
        <v>165</v>
      </c>
      <c r="E31">
        <v>38.474601999999997</v>
      </c>
      <c r="F31">
        <v>-82.623778999999999</v>
      </c>
      <c r="H31" s="1">
        <v>110000732244</v>
      </c>
      <c r="I31" s="6" t="s">
        <v>3</v>
      </c>
      <c r="J31" s="4">
        <v>3.6817641249999999</v>
      </c>
      <c r="K31" s="1">
        <v>5090103000899</v>
      </c>
      <c r="L31" t="s">
        <v>164</v>
      </c>
      <c r="M31" t="s">
        <v>588</v>
      </c>
      <c r="O31">
        <v>0</v>
      </c>
      <c r="P31" t="s">
        <v>196</v>
      </c>
      <c r="Q31" t="s">
        <v>196</v>
      </c>
      <c r="R31" t="s">
        <v>196</v>
      </c>
      <c r="S31" t="s">
        <v>193</v>
      </c>
      <c r="T31" t="s">
        <v>196</v>
      </c>
      <c r="U31" t="s">
        <v>196</v>
      </c>
      <c r="V31">
        <v>466356</v>
      </c>
      <c r="W31" t="s">
        <v>196</v>
      </c>
      <c r="X31">
        <v>1</v>
      </c>
      <c r="Y31">
        <v>2.0550000000000002</v>
      </c>
      <c r="Z31">
        <v>7.8410000000000002</v>
      </c>
      <c r="AA31">
        <v>16.702999999999999</v>
      </c>
      <c r="AB31">
        <v>5.93</v>
      </c>
      <c r="AC31">
        <v>2.9630000000000001</v>
      </c>
      <c r="AD31">
        <v>2.3769999999999998</v>
      </c>
      <c r="AE31">
        <v>1.5389999999999999</v>
      </c>
      <c r="AF31">
        <v>1.0940000000000001</v>
      </c>
      <c r="AG31">
        <v>0.74299999999999999</v>
      </c>
      <c r="AH31">
        <v>0.69299999999999995</v>
      </c>
      <c r="AI31">
        <v>0.96299999999999997</v>
      </c>
      <c r="AJ31">
        <v>0.98</v>
      </c>
      <c r="AK31">
        <v>3.145</v>
      </c>
      <c r="AL31" t="s">
        <v>491</v>
      </c>
      <c r="AM31">
        <v>-1</v>
      </c>
      <c r="AN31">
        <v>1.6943765281173599</v>
      </c>
      <c r="AO31" t="s">
        <v>525</v>
      </c>
      <c r="AP31">
        <v>2.3925160171705002</v>
      </c>
      <c r="AQ31" t="s">
        <v>526</v>
      </c>
      <c r="AR31">
        <v>0.91973790579427706</v>
      </c>
      <c r="AS31" t="s">
        <v>218</v>
      </c>
      <c r="AT31" s="10">
        <v>3681764125</v>
      </c>
      <c r="AU31" s="10">
        <v>732.769599574209</v>
      </c>
      <c r="AV31" s="10">
        <v>1538.8670749022699</v>
      </c>
      <c r="AW31" s="10">
        <v>4003.05793835959</v>
      </c>
      <c r="AX31" s="10">
        <v>2172.9314965728699</v>
      </c>
      <c r="AY31" s="10">
        <f t="shared" si="0"/>
        <v>190.62180658855192</v>
      </c>
      <c r="AZ31" s="10">
        <v>24.425653319140299</v>
      </c>
      <c r="BA31" s="10">
        <v>51.295569163409098</v>
      </c>
      <c r="BB31" s="10">
        <v>133.43526461198601</v>
      </c>
      <c r="BC31" s="10">
        <v>72.431049885762405</v>
      </c>
      <c r="BD31" s="10">
        <v>2.9310783982968398</v>
      </c>
      <c r="BE31" s="10">
        <v>6.1554682996090904</v>
      </c>
      <c r="BF31" s="10">
        <v>16.0122317534383</v>
      </c>
      <c r="BH31" s="10">
        <v>2.9200838428929499E-5</v>
      </c>
      <c r="BI31" s="10">
        <f t="shared" si="1"/>
        <v>1.7974483527128244E-4</v>
      </c>
      <c r="BJ31" s="10"/>
      <c r="BK31" s="10"/>
      <c r="BL31" s="10"/>
      <c r="BM31" s="10"/>
    </row>
    <row r="32" spans="1:65" x14ac:dyDescent="0.25">
      <c r="A32">
        <v>30</v>
      </c>
      <c r="B32">
        <v>2019</v>
      </c>
      <c r="C32" t="s">
        <v>186</v>
      </c>
      <c r="D32" t="s">
        <v>174</v>
      </c>
      <c r="E32">
        <v>37.640973000000002</v>
      </c>
      <c r="F32">
        <v>-84.312661000000006</v>
      </c>
      <c r="H32" s="1">
        <v>110009933484</v>
      </c>
      <c r="I32" s="6" t="s">
        <v>3</v>
      </c>
      <c r="J32" s="4">
        <v>3.2327685000000002</v>
      </c>
      <c r="K32" s="1">
        <v>5100205000153</v>
      </c>
      <c r="L32" t="s">
        <v>589</v>
      </c>
      <c r="M32" t="s">
        <v>173</v>
      </c>
      <c r="O32">
        <v>0</v>
      </c>
      <c r="P32" t="s">
        <v>196</v>
      </c>
      <c r="Q32" t="s">
        <v>196</v>
      </c>
      <c r="R32" t="s">
        <v>196</v>
      </c>
      <c r="S32" t="s">
        <v>193</v>
      </c>
      <c r="T32" t="s">
        <v>196</v>
      </c>
      <c r="U32" t="s">
        <v>196</v>
      </c>
      <c r="V32">
        <v>1827308</v>
      </c>
      <c r="W32" t="s">
        <v>590</v>
      </c>
      <c r="X32">
        <v>3</v>
      </c>
      <c r="Y32">
        <v>82.132999999999996</v>
      </c>
      <c r="Z32">
        <v>156.19399999999999</v>
      </c>
      <c r="AA32">
        <v>173.52500000000001</v>
      </c>
      <c r="AB32">
        <v>157.74199999999999</v>
      </c>
      <c r="AC32">
        <v>122.655</v>
      </c>
      <c r="AD32">
        <v>88.152000000000001</v>
      </c>
      <c r="AE32">
        <v>55.741999999999997</v>
      </c>
      <c r="AF32">
        <v>27.564</v>
      </c>
      <c r="AG32">
        <v>23.113</v>
      </c>
      <c r="AH32">
        <v>36.738999999999997</v>
      </c>
      <c r="AI32">
        <v>24.471</v>
      </c>
      <c r="AJ32">
        <v>53.732999999999997</v>
      </c>
      <c r="AK32">
        <v>129.98699999999999</v>
      </c>
      <c r="AL32" t="s">
        <v>490</v>
      </c>
      <c r="AM32">
        <v>-1</v>
      </c>
      <c r="AN32">
        <v>56.511002444987803</v>
      </c>
      <c r="AO32" t="s">
        <v>525</v>
      </c>
      <c r="AP32">
        <v>101.582888838288</v>
      </c>
      <c r="AQ32" t="s">
        <v>526</v>
      </c>
      <c r="AR32">
        <v>34.705723544322602</v>
      </c>
      <c r="AS32" t="s">
        <v>218</v>
      </c>
      <c r="AT32" s="10">
        <v>3232768500</v>
      </c>
      <c r="AU32" s="10">
        <v>16.0983078238954</v>
      </c>
      <c r="AV32" s="10">
        <v>31.8239472904372</v>
      </c>
      <c r="AW32" s="10">
        <v>93.147993179610395</v>
      </c>
      <c r="AX32" s="10">
        <v>57.206001665729197</v>
      </c>
      <c r="AY32" s="10">
        <f t="shared" si="0"/>
        <v>4.4356187228385906</v>
      </c>
      <c r="AZ32" s="10">
        <v>0.53661026079651297</v>
      </c>
      <c r="BA32" s="10">
        <v>1.0607982430145699</v>
      </c>
      <c r="BB32" s="10">
        <v>3.1049331059870098</v>
      </c>
      <c r="BC32" s="10">
        <v>1.9068667221909701</v>
      </c>
      <c r="BD32" s="10">
        <v>6.4393231295581596E-2</v>
      </c>
      <c r="BE32" s="10">
        <v>0.127295789161749</v>
      </c>
      <c r="BF32" s="10">
        <v>0.37259197271844102</v>
      </c>
      <c r="BH32" s="10">
        <v>1.13216780228521E-2</v>
      </c>
      <c r="BI32" s="10">
        <f t="shared" si="1"/>
        <v>1.4412019385541882E-3</v>
      </c>
      <c r="BJ32" s="10"/>
      <c r="BK32" s="10"/>
      <c r="BL32" s="10"/>
      <c r="BM32" s="10"/>
    </row>
    <row r="33" spans="1:65" x14ac:dyDescent="0.25">
      <c r="A33">
        <v>31</v>
      </c>
      <c r="B33">
        <v>2017</v>
      </c>
      <c r="C33" t="s">
        <v>186</v>
      </c>
      <c r="D33" t="s">
        <v>72</v>
      </c>
      <c r="E33">
        <v>40.843611000000003</v>
      </c>
      <c r="F33">
        <v>-75.066389000000001</v>
      </c>
      <c r="G33" t="s">
        <v>73</v>
      </c>
      <c r="H33" s="1">
        <v>110040963286</v>
      </c>
      <c r="I33" s="6" t="s">
        <v>189</v>
      </c>
      <c r="J33" s="4">
        <v>3.1001643560000001</v>
      </c>
      <c r="K33" s="1">
        <v>2040105000142</v>
      </c>
      <c r="L33" t="s">
        <v>71</v>
      </c>
      <c r="M33" t="s">
        <v>591</v>
      </c>
      <c r="O33">
        <v>0</v>
      </c>
      <c r="P33" t="s">
        <v>196</v>
      </c>
      <c r="Q33" t="s">
        <v>196</v>
      </c>
      <c r="R33" t="s">
        <v>196</v>
      </c>
      <c r="S33" t="s">
        <v>193</v>
      </c>
      <c r="T33" t="s">
        <v>196</v>
      </c>
      <c r="U33" t="s">
        <v>196</v>
      </c>
      <c r="V33">
        <v>2588359</v>
      </c>
      <c r="W33" t="s">
        <v>592</v>
      </c>
      <c r="X33">
        <v>6</v>
      </c>
      <c r="Y33">
        <v>7676.0959999999995</v>
      </c>
      <c r="Z33">
        <v>8255.7129999999997</v>
      </c>
      <c r="AA33">
        <v>8451.7379999999994</v>
      </c>
      <c r="AB33">
        <v>12380.82</v>
      </c>
      <c r="AC33">
        <v>14984.541999999999</v>
      </c>
      <c r="AD33">
        <v>9396.6389999999992</v>
      </c>
      <c r="AE33">
        <v>5989.7070000000003</v>
      </c>
      <c r="AF33">
        <v>3919.1509999999998</v>
      </c>
      <c r="AG33">
        <v>3143.1210000000001</v>
      </c>
      <c r="AH33">
        <v>3512.0430000000001</v>
      </c>
      <c r="AI33">
        <v>4541.451</v>
      </c>
      <c r="AJ33">
        <v>6465.7359999999999</v>
      </c>
      <c r="AK33">
        <v>8762.36</v>
      </c>
      <c r="AL33" t="s">
        <v>490</v>
      </c>
      <c r="AM33">
        <v>-1</v>
      </c>
      <c r="AN33">
        <v>7684.8924205378999</v>
      </c>
      <c r="AO33" t="s">
        <v>525</v>
      </c>
      <c r="AP33">
        <v>14390.457198117199</v>
      </c>
      <c r="AQ33" t="s">
        <v>526</v>
      </c>
      <c r="AR33">
        <v>5610.5476126862804</v>
      </c>
      <c r="AS33" t="s">
        <v>218</v>
      </c>
      <c r="AT33" s="10">
        <v>3100164356</v>
      </c>
      <c r="AU33" s="10">
        <v>0.16518386711213601</v>
      </c>
      <c r="AV33" s="10">
        <v>0.215431956978101</v>
      </c>
      <c r="AW33" s="10">
        <v>0.552560029789261</v>
      </c>
      <c r="AX33" s="10">
        <v>0.40341024784092</v>
      </c>
      <c r="AY33" s="10">
        <f t="shared" si="0"/>
        <v>2.6312382370917192E-2</v>
      </c>
      <c r="AZ33" s="10">
        <v>5.50612890373787E-3</v>
      </c>
      <c r="BA33" s="10">
        <v>7.1810652326033701E-3</v>
      </c>
      <c r="BB33" s="10">
        <v>1.8418667659642E-2</v>
      </c>
      <c r="BC33" s="10">
        <v>1.3447008261364E-2</v>
      </c>
      <c r="BD33" s="10">
        <v>6.6073546844854501E-4</v>
      </c>
      <c r="BE33" s="10">
        <v>8.6172782791240396E-4</v>
      </c>
      <c r="BF33" s="10">
        <v>2.2102401191570402E-3</v>
      </c>
      <c r="BH33" s="10">
        <v>1</v>
      </c>
      <c r="BI33" s="10">
        <f t="shared" si="1"/>
        <v>8.6172782791240396E-4</v>
      </c>
      <c r="BJ33" s="10"/>
      <c r="BK33" s="10"/>
      <c r="BL33" s="10"/>
      <c r="BM33" s="10"/>
    </row>
    <row r="34" spans="1:65" x14ac:dyDescent="0.25">
      <c r="A34">
        <v>32</v>
      </c>
      <c r="B34">
        <v>2019</v>
      </c>
      <c r="C34" t="s">
        <v>186</v>
      </c>
      <c r="D34" t="s">
        <v>593</v>
      </c>
      <c r="E34">
        <v>40.506320000000002</v>
      </c>
      <c r="F34">
        <v>-81.474299999999999</v>
      </c>
      <c r="G34" t="s">
        <v>93</v>
      </c>
      <c r="H34" s="1">
        <v>110000496981</v>
      </c>
      <c r="I34" s="6" t="s">
        <v>187</v>
      </c>
      <c r="J34" s="4">
        <v>2.31636</v>
      </c>
      <c r="K34" s="1">
        <v>5040001000298</v>
      </c>
      <c r="L34" t="s">
        <v>92</v>
      </c>
      <c r="O34">
        <v>0</v>
      </c>
      <c r="P34" t="s">
        <v>196</v>
      </c>
      <c r="Q34" t="s">
        <v>196</v>
      </c>
      <c r="R34" t="s">
        <v>196</v>
      </c>
      <c r="S34" t="s">
        <v>193</v>
      </c>
      <c r="T34" t="s">
        <v>196</v>
      </c>
      <c r="U34" t="s">
        <v>196</v>
      </c>
      <c r="V34">
        <v>19389446</v>
      </c>
      <c r="W34" t="s">
        <v>594</v>
      </c>
      <c r="X34">
        <v>5</v>
      </c>
      <c r="Y34">
        <v>359.34300000000002</v>
      </c>
      <c r="Z34">
        <v>455.91</v>
      </c>
      <c r="AA34">
        <v>576.47799999999995</v>
      </c>
      <c r="AB34">
        <v>736.48400000000004</v>
      </c>
      <c r="AC34">
        <v>603.40099999999995</v>
      </c>
      <c r="AD34">
        <v>383.35899999999998</v>
      </c>
      <c r="AE34">
        <v>295.00900000000001</v>
      </c>
      <c r="AF34">
        <v>185.452</v>
      </c>
      <c r="AG34">
        <v>157.096</v>
      </c>
      <c r="AH34">
        <v>136.52699999999999</v>
      </c>
      <c r="AI34">
        <v>119.85899999999999</v>
      </c>
      <c r="AJ34">
        <v>259.93599999999998</v>
      </c>
      <c r="AK34">
        <v>433.327</v>
      </c>
      <c r="AL34" t="s">
        <v>492</v>
      </c>
      <c r="AM34">
        <v>-1</v>
      </c>
      <c r="AN34">
        <v>293.05378973105098</v>
      </c>
      <c r="AO34" t="s">
        <v>525</v>
      </c>
      <c r="AP34">
        <v>522.96928069040302</v>
      </c>
      <c r="AQ34" t="s">
        <v>526</v>
      </c>
      <c r="AR34">
        <v>190.711507081809</v>
      </c>
      <c r="AS34" t="s">
        <v>218</v>
      </c>
      <c r="AT34" s="10">
        <v>2316360000</v>
      </c>
      <c r="AU34" s="10">
        <v>2.6364538616308102</v>
      </c>
      <c r="AV34" s="10">
        <v>4.4292467751490801</v>
      </c>
      <c r="AW34" s="10">
        <v>12.1458848259552</v>
      </c>
      <c r="AX34" s="10">
        <v>7.9042144519810797</v>
      </c>
      <c r="AY34" s="10">
        <f t="shared" si="0"/>
        <v>0.57837546790262861</v>
      </c>
      <c r="AZ34" s="10">
        <v>8.7881795387693598E-2</v>
      </c>
      <c r="BA34" s="10">
        <v>0.14764155917163599</v>
      </c>
      <c r="BB34" s="10">
        <v>0.404862827531841</v>
      </c>
      <c r="BC34" s="10">
        <v>0.26347381506603601</v>
      </c>
      <c r="BD34" s="10">
        <v>1.05458154465232E-2</v>
      </c>
      <c r="BE34" s="10">
        <v>1.7716987100596299E-2</v>
      </c>
      <c r="BF34" s="10">
        <v>4.8583539303820998E-2</v>
      </c>
      <c r="BH34" s="10" t="s">
        <v>196</v>
      </c>
      <c r="BI34" s="10" t="e">
        <f t="shared" si="1"/>
        <v>#VALUE!</v>
      </c>
      <c r="BJ34" s="10"/>
      <c r="BK34" s="10"/>
      <c r="BL34" s="10"/>
      <c r="BM34" s="10"/>
    </row>
    <row r="35" spans="1:65" x14ac:dyDescent="0.25">
      <c r="A35">
        <v>33</v>
      </c>
      <c r="B35">
        <v>2015</v>
      </c>
      <c r="C35" t="s">
        <v>195</v>
      </c>
      <c r="D35" t="s">
        <v>595</v>
      </c>
      <c r="E35">
        <v>39.834117999999997</v>
      </c>
      <c r="F35">
        <v>-91.436790999999999</v>
      </c>
      <c r="G35" t="s">
        <v>65</v>
      </c>
      <c r="H35" s="1">
        <v>110056953765</v>
      </c>
      <c r="I35" s="6" t="s">
        <v>189</v>
      </c>
      <c r="J35" s="4">
        <v>2.2679618499999998</v>
      </c>
      <c r="K35" s="1">
        <v>7110004002879</v>
      </c>
      <c r="L35" t="s">
        <v>596</v>
      </c>
      <c r="M35" t="s">
        <v>64</v>
      </c>
      <c r="O35">
        <v>2019</v>
      </c>
      <c r="P35" t="s">
        <v>196</v>
      </c>
      <c r="Q35" t="s">
        <v>196</v>
      </c>
      <c r="R35">
        <v>6.0204166666666703</v>
      </c>
      <c r="S35" t="s">
        <v>193</v>
      </c>
      <c r="T35">
        <v>6.0204166666666703</v>
      </c>
      <c r="U35">
        <v>9.3149692791666698</v>
      </c>
      <c r="V35">
        <v>2927777</v>
      </c>
      <c r="W35" t="s">
        <v>553</v>
      </c>
      <c r="X35">
        <v>8</v>
      </c>
      <c r="Y35">
        <v>90771.044999999998</v>
      </c>
      <c r="Z35">
        <v>52631.962</v>
      </c>
      <c r="AA35">
        <v>64962.199000000001</v>
      </c>
      <c r="AB35">
        <v>109677.21799999999</v>
      </c>
      <c r="AC35">
        <v>152157.15400000001</v>
      </c>
      <c r="AD35">
        <v>144199.59099999999</v>
      </c>
      <c r="AE35">
        <v>120629.753</v>
      </c>
      <c r="AF35">
        <v>112602.96</v>
      </c>
      <c r="AG35">
        <v>75353.517000000007</v>
      </c>
      <c r="AH35">
        <v>65341.241000000002</v>
      </c>
      <c r="AI35">
        <v>66839.010999999999</v>
      </c>
      <c r="AJ35">
        <v>71409.031000000003</v>
      </c>
      <c r="AK35">
        <v>61038.947</v>
      </c>
      <c r="AL35" t="s">
        <v>483</v>
      </c>
      <c r="AM35">
        <v>22.7749860126324</v>
      </c>
      <c r="AN35">
        <v>128684.503667482</v>
      </c>
      <c r="AO35" t="s">
        <v>525</v>
      </c>
      <c r="AP35">
        <v>231675.09279488199</v>
      </c>
      <c r="AQ35" t="s">
        <v>526</v>
      </c>
      <c r="AR35">
        <v>103746.77026556199</v>
      </c>
      <c r="AS35" t="s">
        <v>218</v>
      </c>
      <c r="AT35" s="10">
        <v>2267961850</v>
      </c>
      <c r="AU35" s="10">
        <v>1.0219078084316401E-2</v>
      </c>
      <c r="AV35" s="10">
        <v>9.7894073231600195E-3</v>
      </c>
      <c r="AW35" s="10">
        <v>2.1860553771405899E-2</v>
      </c>
      <c r="AX35" s="10">
        <v>1.7624203267398601E-2</v>
      </c>
      <c r="AY35" s="10">
        <f t="shared" si="0"/>
        <v>1.0409787510193285E-3</v>
      </c>
      <c r="AZ35" s="10">
        <v>3.40635936143881E-4</v>
      </c>
      <c r="BA35" s="10">
        <v>3.2631357743866698E-4</v>
      </c>
      <c r="BB35" s="10">
        <v>7.2868512571352896E-4</v>
      </c>
      <c r="BC35" s="10">
        <v>5.8747344224662097E-4</v>
      </c>
      <c r="BD35" s="10">
        <v>4.0876312337265697E-5</v>
      </c>
      <c r="BE35" s="10">
        <v>3.9157629292640097E-5</v>
      </c>
      <c r="BF35" s="10">
        <v>8.74422150856235E-5</v>
      </c>
      <c r="BH35" s="10">
        <v>0.99917673716136801</v>
      </c>
      <c r="BI35" s="10">
        <f t="shared" si="1"/>
        <v>3.9125392271594536E-5</v>
      </c>
      <c r="BJ35" s="10"/>
      <c r="BK35" s="10"/>
      <c r="BL35" s="10"/>
      <c r="BM35" s="10"/>
    </row>
    <row r="36" spans="1:65" x14ac:dyDescent="0.25">
      <c r="A36">
        <v>34</v>
      </c>
      <c r="B36">
        <v>2015</v>
      </c>
      <c r="C36" t="s">
        <v>186</v>
      </c>
      <c r="D36" t="s">
        <v>5</v>
      </c>
      <c r="E36">
        <v>34.661079999999998</v>
      </c>
      <c r="F36">
        <v>-120.48135000000001</v>
      </c>
      <c r="H36" s="1">
        <v>110009547222</v>
      </c>
      <c r="I36" s="6" t="s">
        <v>3</v>
      </c>
      <c r="J36" s="4">
        <v>2.1620866250000002</v>
      </c>
      <c r="K36" s="1">
        <v>18060010000006</v>
      </c>
      <c r="L36" t="s">
        <v>4</v>
      </c>
      <c r="O36">
        <v>0</v>
      </c>
      <c r="P36" t="s">
        <v>196</v>
      </c>
      <c r="Q36" t="s">
        <v>196</v>
      </c>
      <c r="R36" t="s">
        <v>196</v>
      </c>
      <c r="S36" t="s">
        <v>193</v>
      </c>
      <c r="T36" t="s">
        <v>196</v>
      </c>
      <c r="U36" t="s">
        <v>196</v>
      </c>
      <c r="V36">
        <v>17607709</v>
      </c>
      <c r="W36" t="s">
        <v>597</v>
      </c>
      <c r="X36">
        <v>5</v>
      </c>
      <c r="Y36">
        <v>91.427000000000007</v>
      </c>
      <c r="Z36">
        <v>144.65</v>
      </c>
      <c r="AA36">
        <v>451.77</v>
      </c>
      <c r="AB36">
        <v>460.84199999999998</v>
      </c>
      <c r="AC36">
        <v>121.804</v>
      </c>
      <c r="AD36">
        <v>12.284000000000001</v>
      </c>
      <c r="AE36">
        <v>18.023</v>
      </c>
      <c r="AF36">
        <v>5.016</v>
      </c>
      <c r="AG36">
        <v>0.44</v>
      </c>
      <c r="AH36">
        <v>0.435</v>
      </c>
      <c r="AI36">
        <v>2.04</v>
      </c>
      <c r="AJ36">
        <v>3.669</v>
      </c>
      <c r="AK36">
        <v>17.765000000000001</v>
      </c>
      <c r="AL36" t="s">
        <v>491</v>
      </c>
      <c r="AM36">
        <v>-1</v>
      </c>
      <c r="AN36">
        <v>1.0635696821515901</v>
      </c>
      <c r="AO36" t="s">
        <v>525</v>
      </c>
      <c r="AP36">
        <v>11.0386185753391</v>
      </c>
      <c r="AQ36" t="s">
        <v>526</v>
      </c>
      <c r="AR36">
        <v>0.56793825150418598</v>
      </c>
      <c r="AS36" t="s">
        <v>218</v>
      </c>
      <c r="AT36" s="10">
        <v>2162086625</v>
      </c>
      <c r="AU36" s="10">
        <v>9.6721256261826394</v>
      </c>
      <c r="AV36" s="10">
        <v>195.86568828732101</v>
      </c>
      <c r="AW36" s="10">
        <v>3806.9043936972098</v>
      </c>
      <c r="AX36" s="10">
        <v>2032.8584589080499</v>
      </c>
      <c r="AY36" s="10">
        <f t="shared" si="0"/>
        <v>181.28116160462903</v>
      </c>
      <c r="AZ36" s="10">
        <v>0.32240418753942102</v>
      </c>
      <c r="BA36" s="10">
        <v>6.5288562762440296</v>
      </c>
      <c r="BB36" s="10">
        <v>126.89681312323999</v>
      </c>
      <c r="BC36" s="10">
        <v>67.761948630268193</v>
      </c>
      <c r="BD36" s="10">
        <v>3.86885025047305E-2</v>
      </c>
      <c r="BE36" s="10">
        <v>0.78346275314928304</v>
      </c>
      <c r="BF36" s="10">
        <v>15.2276175747889</v>
      </c>
      <c r="BH36" s="10">
        <v>1</v>
      </c>
      <c r="BI36" s="10">
        <f t="shared" si="1"/>
        <v>0.78346275314928304</v>
      </c>
      <c r="BJ36" s="10"/>
      <c r="BK36" s="10"/>
      <c r="BL36" s="10"/>
      <c r="BM36" s="10"/>
    </row>
    <row r="37" spans="1:65" x14ac:dyDescent="0.25">
      <c r="A37">
        <v>35</v>
      </c>
      <c r="B37">
        <v>2016</v>
      </c>
      <c r="C37" t="s">
        <v>186</v>
      </c>
      <c r="D37" t="s">
        <v>119</v>
      </c>
      <c r="E37">
        <v>39.484572</v>
      </c>
      <c r="F37">
        <v>-81.093402999999995</v>
      </c>
      <c r="G37" t="s">
        <v>120</v>
      </c>
      <c r="H37" s="1">
        <v>110000344814</v>
      </c>
      <c r="I37" s="6" t="s">
        <v>187</v>
      </c>
      <c r="J37" s="4">
        <v>2.1282539680000001</v>
      </c>
      <c r="K37" s="1">
        <v>5030201001622</v>
      </c>
      <c r="L37" t="s">
        <v>118</v>
      </c>
      <c r="O37">
        <v>0</v>
      </c>
      <c r="P37" t="s">
        <v>196</v>
      </c>
      <c r="Q37" t="s">
        <v>196</v>
      </c>
      <c r="R37" t="s">
        <v>196</v>
      </c>
      <c r="S37" t="s">
        <v>193</v>
      </c>
      <c r="T37" t="s">
        <v>196</v>
      </c>
      <c r="U37" t="s">
        <v>196</v>
      </c>
      <c r="V37">
        <v>15433076</v>
      </c>
      <c r="W37" t="s">
        <v>598</v>
      </c>
      <c r="X37">
        <v>1</v>
      </c>
      <c r="Y37">
        <v>0.48799999999999999</v>
      </c>
      <c r="Z37">
        <v>1.5620000000000001</v>
      </c>
      <c r="AA37">
        <v>4.4470000000000001</v>
      </c>
      <c r="AB37">
        <v>1.46</v>
      </c>
      <c r="AC37">
        <v>0.71499999999999997</v>
      </c>
      <c r="AD37">
        <v>0.57299999999999995</v>
      </c>
      <c r="AE37">
        <v>0.36799999999999999</v>
      </c>
      <c r="AF37">
        <v>0.248</v>
      </c>
      <c r="AG37">
        <v>0.16800000000000001</v>
      </c>
      <c r="AH37">
        <v>0.214</v>
      </c>
      <c r="AI37">
        <v>0.26300000000000001</v>
      </c>
      <c r="AJ37">
        <v>0.81699999999999995</v>
      </c>
      <c r="AK37">
        <v>0.871</v>
      </c>
      <c r="AL37" t="s">
        <v>490</v>
      </c>
      <c r="AM37">
        <v>-1</v>
      </c>
      <c r="AN37">
        <v>0.41075794621026901</v>
      </c>
      <c r="AO37" t="s">
        <v>525</v>
      </c>
      <c r="AP37">
        <v>0.53931870169562901</v>
      </c>
      <c r="AQ37" t="s">
        <v>526</v>
      </c>
      <c r="AR37">
        <v>0.21211784667419001</v>
      </c>
      <c r="AS37" t="s">
        <v>218</v>
      </c>
      <c r="AT37" s="10">
        <v>2128253968</v>
      </c>
      <c r="AU37" s="10">
        <v>1783.72105104918</v>
      </c>
      <c r="AV37" s="10">
        <v>3946.1898156113002</v>
      </c>
      <c r="AW37" s="10">
        <v>10033.3564637254</v>
      </c>
      <c r="AX37" s="10">
        <v>5181.2849578095202</v>
      </c>
      <c r="AY37" s="10">
        <f t="shared" si="0"/>
        <v>477.77887922501907</v>
      </c>
      <c r="AZ37" s="10">
        <v>59.457368368306</v>
      </c>
      <c r="BA37" s="10">
        <v>131.539660520377</v>
      </c>
      <c r="BB37" s="10">
        <v>334.445215457514</v>
      </c>
      <c r="BC37" s="10">
        <v>172.70949859365101</v>
      </c>
      <c r="BD37" s="10">
        <v>7.1348842041967204</v>
      </c>
      <c r="BE37" s="10">
        <v>15.784759262445199</v>
      </c>
      <c r="BF37" s="10">
        <v>40.133425854901702</v>
      </c>
      <c r="BH37" s="10" t="s">
        <v>196</v>
      </c>
      <c r="BI37" s="10" t="e">
        <f t="shared" si="1"/>
        <v>#VALUE!</v>
      </c>
      <c r="BJ37" s="10"/>
      <c r="BK37" s="10"/>
      <c r="BL37" s="10"/>
      <c r="BM37" s="10"/>
    </row>
    <row r="38" spans="1:65" x14ac:dyDescent="0.25">
      <c r="A38">
        <v>36</v>
      </c>
      <c r="B38">
        <v>2020</v>
      </c>
      <c r="C38" t="s">
        <v>186</v>
      </c>
      <c r="D38" t="s">
        <v>599</v>
      </c>
      <c r="E38">
        <v>38.987340000000003</v>
      </c>
      <c r="F38">
        <v>-77.026660000000007</v>
      </c>
      <c r="H38" s="1">
        <v>110037096674</v>
      </c>
      <c r="I38" s="6" t="s">
        <v>191</v>
      </c>
      <c r="J38" s="4">
        <v>1.7178952110000001</v>
      </c>
      <c r="K38" s="1">
        <v>2070010000088</v>
      </c>
      <c r="L38" t="s">
        <v>600</v>
      </c>
      <c r="M38" t="s">
        <v>151</v>
      </c>
      <c r="O38">
        <v>0</v>
      </c>
      <c r="P38" t="s">
        <v>196</v>
      </c>
      <c r="Q38" t="s">
        <v>196</v>
      </c>
      <c r="R38" t="s">
        <v>196</v>
      </c>
      <c r="S38" t="s">
        <v>193</v>
      </c>
      <c r="T38" t="s">
        <v>196</v>
      </c>
      <c r="U38" t="s">
        <v>196</v>
      </c>
      <c r="V38">
        <v>22338431</v>
      </c>
      <c r="W38" t="s">
        <v>18</v>
      </c>
      <c r="X38">
        <v>3</v>
      </c>
      <c r="Y38">
        <v>78.588999999999999</v>
      </c>
      <c r="Z38">
        <v>90.116</v>
      </c>
      <c r="AA38">
        <v>95.992999999999995</v>
      </c>
      <c r="AB38">
        <v>107.155</v>
      </c>
      <c r="AC38">
        <v>96.414000000000001</v>
      </c>
      <c r="AD38">
        <v>93.11</v>
      </c>
      <c r="AE38">
        <v>78.369</v>
      </c>
      <c r="AF38">
        <v>60.662999999999997</v>
      </c>
      <c r="AG38">
        <v>53.418999999999997</v>
      </c>
      <c r="AH38">
        <v>69.602000000000004</v>
      </c>
      <c r="AI38">
        <v>54.527999999999999</v>
      </c>
      <c r="AJ38">
        <v>65.918999999999997</v>
      </c>
      <c r="AK38">
        <v>79.260000000000005</v>
      </c>
      <c r="AL38" t="s">
        <v>490</v>
      </c>
      <c r="AM38">
        <v>-1</v>
      </c>
      <c r="AN38">
        <v>130.60880195599</v>
      </c>
      <c r="AO38" t="s">
        <v>525</v>
      </c>
      <c r="AP38">
        <v>160.57159486608799</v>
      </c>
      <c r="AQ38" t="s">
        <v>526</v>
      </c>
      <c r="AR38">
        <v>82.612865363886996</v>
      </c>
      <c r="AS38" t="s">
        <v>218</v>
      </c>
      <c r="AT38" s="10">
        <v>1717895211</v>
      </c>
      <c r="AU38" s="10">
        <v>8.9404260303477603</v>
      </c>
      <c r="AV38" s="10">
        <v>10.6986245757394</v>
      </c>
      <c r="AW38" s="10">
        <v>20.794523993728401</v>
      </c>
      <c r="AX38" s="10">
        <v>13.1529819221438</v>
      </c>
      <c r="AY38" s="10">
        <f t="shared" si="0"/>
        <v>0.99021542827278097</v>
      </c>
      <c r="AZ38" s="10">
        <v>0.29801420101159198</v>
      </c>
      <c r="BA38" s="10">
        <v>0.356620819191314</v>
      </c>
      <c r="BB38" s="10">
        <v>0.69315079979094596</v>
      </c>
      <c r="BC38" s="10">
        <v>0.438432730738127</v>
      </c>
      <c r="BD38" s="10">
        <v>3.5761704121391E-2</v>
      </c>
      <c r="BE38" s="10">
        <v>4.2794498302957701E-2</v>
      </c>
      <c r="BF38" s="10">
        <v>8.3178095974913505E-2</v>
      </c>
      <c r="BH38" s="10" t="s">
        <v>196</v>
      </c>
      <c r="BI38" s="10" t="e">
        <f t="shared" si="1"/>
        <v>#VALUE!</v>
      </c>
      <c r="BJ38" s="10"/>
      <c r="BK38" s="10"/>
      <c r="BL38" s="10"/>
      <c r="BM38" s="10"/>
    </row>
    <row r="39" spans="1:65" x14ac:dyDescent="0.25">
      <c r="A39">
        <v>37</v>
      </c>
      <c r="B39">
        <v>2020</v>
      </c>
      <c r="C39" t="s">
        <v>186</v>
      </c>
      <c r="D39" t="s">
        <v>50</v>
      </c>
      <c r="E39">
        <v>30.567550000000001</v>
      </c>
      <c r="F39">
        <v>-91.206370000000007</v>
      </c>
      <c r="G39" t="s">
        <v>51</v>
      </c>
      <c r="H39" s="1">
        <v>110000450039</v>
      </c>
      <c r="I39" s="6" t="s">
        <v>531</v>
      </c>
      <c r="J39" s="4">
        <v>1.6326530610000001</v>
      </c>
      <c r="K39" s="1">
        <v>8070201000273</v>
      </c>
      <c r="L39" t="s">
        <v>49</v>
      </c>
      <c r="O39">
        <v>0</v>
      </c>
      <c r="P39" t="s">
        <v>196</v>
      </c>
      <c r="Q39" t="s">
        <v>196</v>
      </c>
      <c r="R39" t="s">
        <v>196</v>
      </c>
      <c r="S39" t="s">
        <v>193</v>
      </c>
      <c r="T39" t="s">
        <v>196</v>
      </c>
      <c r="U39" t="s">
        <v>196</v>
      </c>
      <c r="V39">
        <v>19053450</v>
      </c>
      <c r="W39" t="s">
        <v>196</v>
      </c>
      <c r="X39">
        <v>2</v>
      </c>
      <c r="Y39">
        <v>2.9409999999999998</v>
      </c>
      <c r="Z39">
        <v>4.774</v>
      </c>
      <c r="AA39">
        <v>4.8639999999999999</v>
      </c>
      <c r="AB39">
        <v>4.1139999999999999</v>
      </c>
      <c r="AC39">
        <v>4.4530000000000003</v>
      </c>
      <c r="AD39">
        <v>2.746</v>
      </c>
      <c r="AE39">
        <v>1.5589999999999999</v>
      </c>
      <c r="AF39">
        <v>0.55400000000000005</v>
      </c>
      <c r="AG39">
        <v>0.57199999999999995</v>
      </c>
      <c r="AH39">
        <v>0.80200000000000005</v>
      </c>
      <c r="AI39">
        <v>2.4630000000000001</v>
      </c>
      <c r="AJ39">
        <v>9.0719999999999992</v>
      </c>
      <c r="AK39">
        <v>4.1260000000000003</v>
      </c>
      <c r="AL39" t="s">
        <v>489</v>
      </c>
      <c r="AM39">
        <v>-1</v>
      </c>
      <c r="AN39">
        <v>1.3545232273838601</v>
      </c>
      <c r="AO39" t="s">
        <v>525</v>
      </c>
      <c r="AP39">
        <v>2.4942303556536198</v>
      </c>
      <c r="AQ39" t="s">
        <v>526</v>
      </c>
      <c r="AR39">
        <v>0.72948833177436101</v>
      </c>
      <c r="AS39" t="s">
        <v>218</v>
      </c>
      <c r="AT39" s="10">
        <v>1632653061</v>
      </c>
      <c r="AU39" s="10">
        <v>227.050357684121</v>
      </c>
      <c r="AV39" s="10">
        <v>654.57188318604801</v>
      </c>
      <c r="AW39" s="10">
        <v>2238.0797469766799</v>
      </c>
      <c r="AX39" s="10">
        <v>1205.3341190415199</v>
      </c>
      <c r="AY39" s="10">
        <f t="shared" si="0"/>
        <v>106.57522604650856</v>
      </c>
      <c r="AZ39" s="10">
        <v>7.5683452561373699</v>
      </c>
      <c r="BA39" s="10">
        <v>21.8190627728683</v>
      </c>
      <c r="BB39" s="10">
        <v>74.602658232555896</v>
      </c>
      <c r="BC39" s="10">
        <v>40.177803968050497</v>
      </c>
      <c r="BD39" s="10">
        <v>0.90820143073648396</v>
      </c>
      <c r="BE39" s="10">
        <v>2.6182875327441901</v>
      </c>
      <c r="BF39" s="10">
        <v>8.9523189879067004</v>
      </c>
      <c r="BH39" s="10">
        <v>5.4520444978705699E-6</v>
      </c>
      <c r="BI39" s="10">
        <f t="shared" si="1"/>
        <v>1.4275020136741072E-5</v>
      </c>
      <c r="BJ39" s="10"/>
      <c r="BK39" s="10"/>
      <c r="BL39" s="10"/>
      <c r="BM39" s="10"/>
    </row>
    <row r="40" spans="1:65" x14ac:dyDescent="0.25">
      <c r="A40">
        <v>38</v>
      </c>
      <c r="B40">
        <v>2015</v>
      </c>
      <c r="C40" t="s">
        <v>186</v>
      </c>
      <c r="D40" t="s">
        <v>42</v>
      </c>
      <c r="E40">
        <v>30.498353999999999</v>
      </c>
      <c r="F40">
        <v>-91.181038000000001</v>
      </c>
      <c r="H40" s="1">
        <v>110001143584</v>
      </c>
      <c r="I40" s="6" t="s">
        <v>189</v>
      </c>
      <c r="J40" s="4">
        <v>1.2407759899999999</v>
      </c>
      <c r="K40" s="1">
        <v>8070201006480</v>
      </c>
      <c r="L40" t="s">
        <v>601</v>
      </c>
      <c r="M40" t="s">
        <v>41</v>
      </c>
      <c r="O40">
        <v>0</v>
      </c>
      <c r="P40" t="s">
        <v>196</v>
      </c>
      <c r="Q40" t="s">
        <v>196</v>
      </c>
      <c r="R40" t="s">
        <v>196</v>
      </c>
      <c r="S40" t="s">
        <v>193</v>
      </c>
      <c r="T40" t="s">
        <v>196</v>
      </c>
      <c r="U40" t="s">
        <v>196</v>
      </c>
      <c r="V40">
        <v>19085301</v>
      </c>
      <c r="W40" t="s">
        <v>545</v>
      </c>
      <c r="X40">
        <v>2</v>
      </c>
      <c r="Y40">
        <v>20.247</v>
      </c>
      <c r="Z40">
        <v>33.722000000000001</v>
      </c>
      <c r="AA40">
        <v>34.420999999999999</v>
      </c>
      <c r="AB40">
        <v>28.788</v>
      </c>
      <c r="AC40">
        <v>30.617999999999999</v>
      </c>
      <c r="AD40">
        <v>18.189</v>
      </c>
      <c r="AE40">
        <v>11.081</v>
      </c>
      <c r="AF40">
        <v>5.1120000000000001</v>
      </c>
      <c r="AG40">
        <v>5.2279999999999998</v>
      </c>
      <c r="AH40">
        <v>6.3209999999999997</v>
      </c>
      <c r="AI40">
        <v>15.048999999999999</v>
      </c>
      <c r="AJ40">
        <v>42.447000000000003</v>
      </c>
      <c r="AK40">
        <v>28.016999999999999</v>
      </c>
      <c r="AL40" t="s">
        <v>489</v>
      </c>
      <c r="AM40">
        <v>-1</v>
      </c>
      <c r="AN40">
        <v>12.4987775061125</v>
      </c>
      <c r="AO40" t="s">
        <v>525</v>
      </c>
      <c r="AP40">
        <v>22.1168709897049</v>
      </c>
      <c r="AQ40" t="s">
        <v>526</v>
      </c>
      <c r="AR40">
        <v>7.2789759450437703</v>
      </c>
      <c r="AS40" t="s">
        <v>218</v>
      </c>
      <c r="AT40" s="10">
        <v>1240775990</v>
      </c>
      <c r="AU40" s="10">
        <v>25.064324586852401</v>
      </c>
      <c r="AV40" s="10">
        <v>56.100882922252502</v>
      </c>
      <c r="AW40" s="10">
        <v>170.460240474464</v>
      </c>
      <c r="AX40" s="10">
        <v>99.271787932316101</v>
      </c>
      <c r="AY40" s="10">
        <f t="shared" si="0"/>
        <v>8.1171543083078088</v>
      </c>
      <c r="AZ40" s="10">
        <v>0.835477486228412</v>
      </c>
      <c r="BA40" s="10">
        <v>1.87002943074175</v>
      </c>
      <c r="BB40" s="10">
        <v>5.6820080158154598</v>
      </c>
      <c r="BC40" s="10">
        <v>3.3090595977438699</v>
      </c>
      <c r="BD40" s="10">
        <v>0.100257298347409</v>
      </c>
      <c r="BE40" s="10">
        <v>0.22440353168901001</v>
      </c>
      <c r="BF40" s="10">
        <v>0.68184096189785603</v>
      </c>
      <c r="BH40" s="10">
        <v>3.7741643635548101E-5</v>
      </c>
      <c r="BI40" s="10">
        <f t="shared" si="1"/>
        <v>8.4693581235650417E-6</v>
      </c>
      <c r="BJ40" s="10"/>
      <c r="BK40" s="10"/>
      <c r="BL40" s="10"/>
      <c r="BM40" s="10"/>
    </row>
    <row r="41" spans="1:65" x14ac:dyDescent="0.25">
      <c r="A41">
        <v>39</v>
      </c>
      <c r="B41">
        <v>2017</v>
      </c>
      <c r="C41" t="s">
        <v>186</v>
      </c>
      <c r="D41" t="s">
        <v>60</v>
      </c>
      <c r="E41">
        <v>30.493749999999999</v>
      </c>
      <c r="F41">
        <v>-91.178740000000005</v>
      </c>
      <c r="G41" t="s">
        <v>61</v>
      </c>
      <c r="H41" s="1">
        <v>110000606602</v>
      </c>
      <c r="I41" s="6" t="s">
        <v>189</v>
      </c>
      <c r="J41" s="4">
        <v>1.2190476189999999</v>
      </c>
      <c r="K41" s="1">
        <v>8070100000180</v>
      </c>
      <c r="L41" t="s">
        <v>59</v>
      </c>
      <c r="O41">
        <v>0</v>
      </c>
      <c r="P41" t="s">
        <v>196</v>
      </c>
      <c r="Q41" t="s">
        <v>196</v>
      </c>
      <c r="R41" t="s">
        <v>196</v>
      </c>
      <c r="S41" t="s">
        <v>193</v>
      </c>
      <c r="T41" t="s">
        <v>196</v>
      </c>
      <c r="U41" t="s">
        <v>196</v>
      </c>
      <c r="V41">
        <v>19088319</v>
      </c>
      <c r="W41" t="s">
        <v>553</v>
      </c>
      <c r="X41">
        <v>10</v>
      </c>
      <c r="Y41">
        <v>539413.15399999998</v>
      </c>
      <c r="Z41">
        <v>653345.66500000004</v>
      </c>
      <c r="AA41">
        <v>681969.69900000002</v>
      </c>
      <c r="AB41">
        <v>811880.07</v>
      </c>
      <c r="AC41">
        <v>865126.32299999997</v>
      </c>
      <c r="AD41">
        <v>704657.02300000004</v>
      </c>
      <c r="AE41">
        <v>532475.06900000002</v>
      </c>
      <c r="AF41">
        <v>486972.53100000002</v>
      </c>
      <c r="AG41">
        <v>376090.163</v>
      </c>
      <c r="AH41">
        <v>297157.35700000002</v>
      </c>
      <c r="AI41">
        <v>283355.66600000003</v>
      </c>
      <c r="AJ41">
        <v>371501.48800000001</v>
      </c>
      <c r="AK41">
        <v>626069.30200000003</v>
      </c>
      <c r="AL41" t="s">
        <v>492</v>
      </c>
      <c r="AM41">
        <v>-1</v>
      </c>
      <c r="AN41">
        <v>692801.13936430297</v>
      </c>
      <c r="AO41" t="s">
        <v>525</v>
      </c>
      <c r="AP41">
        <v>1408418.8076255899</v>
      </c>
      <c r="AQ41" t="s">
        <v>526</v>
      </c>
      <c r="AR41">
        <v>592640.08838273201</v>
      </c>
      <c r="AS41" t="s">
        <v>218</v>
      </c>
      <c r="AT41" s="10">
        <v>1219047619</v>
      </c>
      <c r="AU41" s="10">
        <v>9.2432020330560896E-4</v>
      </c>
      <c r="AV41" s="10">
        <v>8.65543411093148E-4</v>
      </c>
      <c r="AW41" s="10">
        <v>2.0569779920333801E-3</v>
      </c>
      <c r="AX41" s="10">
        <v>1.7595923992252201E-3</v>
      </c>
      <c r="AY41" s="10">
        <f t="shared" si="0"/>
        <v>9.7951332953970477E-5</v>
      </c>
      <c r="AZ41" s="10">
        <v>3.0810673443520301E-5</v>
      </c>
      <c r="BA41" s="10">
        <v>2.8851447036438298E-5</v>
      </c>
      <c r="BB41" s="10">
        <v>6.8565933067779499E-5</v>
      </c>
      <c r="BC41" s="10">
        <v>5.8653079974174001E-5</v>
      </c>
      <c r="BD41" s="10">
        <v>3.6972808132224401E-6</v>
      </c>
      <c r="BE41" s="10">
        <v>3.4621736443725901E-6</v>
      </c>
      <c r="BF41" s="10">
        <v>8.2279119681335405E-6</v>
      </c>
      <c r="BH41" s="10">
        <v>0.999967534289258</v>
      </c>
      <c r="BI41" s="10">
        <f t="shared" si="1"/>
        <v>3.4620612424445132E-6</v>
      </c>
      <c r="BJ41" s="10"/>
      <c r="BK41" s="10"/>
      <c r="BL41" s="10"/>
      <c r="BM41" s="10"/>
    </row>
    <row r="42" spans="1:65" x14ac:dyDescent="0.25">
      <c r="A42">
        <v>40</v>
      </c>
      <c r="B42">
        <v>2020</v>
      </c>
      <c r="C42" t="s">
        <v>186</v>
      </c>
      <c r="D42" t="s">
        <v>602</v>
      </c>
      <c r="E42">
        <v>30.311361000000002</v>
      </c>
      <c r="F42">
        <v>-95.387083000000004</v>
      </c>
      <c r="G42" t="s">
        <v>97</v>
      </c>
      <c r="H42" s="1">
        <v>110000748095</v>
      </c>
      <c r="I42" s="6" t="s">
        <v>187</v>
      </c>
      <c r="J42" s="4">
        <v>1.208390023</v>
      </c>
      <c r="K42" s="1">
        <v>12040101000196</v>
      </c>
      <c r="L42" t="s">
        <v>96</v>
      </c>
      <c r="M42" t="s">
        <v>603</v>
      </c>
      <c r="N42" t="s">
        <v>604</v>
      </c>
      <c r="O42">
        <v>0</v>
      </c>
      <c r="P42" t="s">
        <v>196</v>
      </c>
      <c r="Q42" t="s">
        <v>196</v>
      </c>
      <c r="R42" t="s">
        <v>196</v>
      </c>
      <c r="S42" t="s">
        <v>193</v>
      </c>
      <c r="T42" t="s">
        <v>196</v>
      </c>
      <c r="U42" t="s">
        <v>196</v>
      </c>
      <c r="V42">
        <v>1468026</v>
      </c>
      <c r="W42" t="s">
        <v>605</v>
      </c>
      <c r="X42">
        <v>1</v>
      </c>
      <c r="Y42">
        <v>15.446</v>
      </c>
      <c r="Z42">
        <v>32.886000000000003</v>
      </c>
      <c r="AA42">
        <v>32.145000000000003</v>
      </c>
      <c r="AB42">
        <v>21.751999999999999</v>
      </c>
      <c r="AC42">
        <v>14.522</v>
      </c>
      <c r="AD42">
        <v>15.861000000000001</v>
      </c>
      <c r="AE42">
        <v>13.795</v>
      </c>
      <c r="AF42">
        <v>3.9609999999999999</v>
      </c>
      <c r="AG42">
        <v>2.69</v>
      </c>
      <c r="AH42">
        <v>2.1760000000000002</v>
      </c>
      <c r="AI42">
        <v>3.766</v>
      </c>
      <c r="AJ42">
        <v>2.4649999999999999</v>
      </c>
      <c r="AK42">
        <v>26.308</v>
      </c>
      <c r="AL42" t="s">
        <v>491</v>
      </c>
      <c r="AM42">
        <v>-1</v>
      </c>
      <c r="AN42">
        <v>5.3202933985330096</v>
      </c>
      <c r="AO42" t="s">
        <v>525</v>
      </c>
      <c r="AP42">
        <v>11.9443705812703</v>
      </c>
      <c r="AQ42" t="s">
        <v>526</v>
      </c>
      <c r="AR42">
        <v>3.0066406527265501</v>
      </c>
      <c r="AS42" t="s">
        <v>218</v>
      </c>
      <c r="AT42" s="10">
        <v>1208390023</v>
      </c>
      <c r="AU42" s="10">
        <v>31.997379218373698</v>
      </c>
      <c r="AV42" s="10">
        <v>101.16816242246</v>
      </c>
      <c r="AW42" s="10">
        <v>401.90703265592401</v>
      </c>
      <c r="AX42" s="10">
        <v>227.12845560983499</v>
      </c>
      <c r="AY42" s="10">
        <f t="shared" si="0"/>
        <v>19.138430126472571</v>
      </c>
      <c r="AZ42" s="10">
        <v>1.0665793072791201</v>
      </c>
      <c r="BA42" s="10">
        <v>3.3722720807486501</v>
      </c>
      <c r="BB42" s="10">
        <v>13.3969010885308</v>
      </c>
      <c r="BC42" s="10">
        <v>7.5709485203278204</v>
      </c>
      <c r="BD42" s="10">
        <v>0.127989516873495</v>
      </c>
      <c r="BE42" s="10">
        <v>0.40467264968983802</v>
      </c>
      <c r="BF42" s="10">
        <v>1.6076281306236999</v>
      </c>
      <c r="BH42" s="10" t="s">
        <v>196</v>
      </c>
      <c r="BI42" s="10" t="e">
        <f t="shared" si="1"/>
        <v>#VALUE!</v>
      </c>
      <c r="BJ42" s="10"/>
      <c r="BK42" s="10"/>
      <c r="BL42" s="10"/>
      <c r="BM42" s="10"/>
    </row>
    <row r="43" spans="1:65" x14ac:dyDescent="0.25">
      <c r="A43">
        <v>41</v>
      </c>
      <c r="B43">
        <v>2015</v>
      </c>
      <c r="C43" t="s">
        <v>186</v>
      </c>
      <c r="D43" t="s">
        <v>199</v>
      </c>
      <c r="E43">
        <v>41.441667000000002</v>
      </c>
      <c r="F43">
        <v>-88.159719999999993</v>
      </c>
      <c r="G43" t="s">
        <v>24</v>
      </c>
      <c r="H43" s="1">
        <v>110000432504</v>
      </c>
      <c r="I43" s="6" t="s">
        <v>189</v>
      </c>
      <c r="J43" s="4">
        <v>1.1546485259999999</v>
      </c>
      <c r="K43" s="1">
        <v>7120004000886</v>
      </c>
      <c r="L43" t="s">
        <v>23</v>
      </c>
      <c r="O43">
        <v>0</v>
      </c>
      <c r="P43" t="s">
        <v>196</v>
      </c>
      <c r="Q43" t="s">
        <v>196</v>
      </c>
      <c r="R43" t="s">
        <v>196</v>
      </c>
      <c r="S43" t="s">
        <v>193</v>
      </c>
      <c r="T43" t="s">
        <v>196</v>
      </c>
      <c r="U43" t="s">
        <v>196</v>
      </c>
      <c r="V43">
        <v>14787967</v>
      </c>
      <c r="W43" t="s">
        <v>606</v>
      </c>
      <c r="X43">
        <v>2</v>
      </c>
      <c r="Y43">
        <v>16.562999999999999</v>
      </c>
      <c r="Z43">
        <v>15.345000000000001</v>
      </c>
      <c r="AA43">
        <v>20.170000000000002</v>
      </c>
      <c r="AB43">
        <v>143.428</v>
      </c>
      <c r="AC43">
        <v>52.01</v>
      </c>
      <c r="AD43">
        <v>25.684000000000001</v>
      </c>
      <c r="AE43">
        <v>14.811</v>
      </c>
      <c r="AF43">
        <v>9.5530000000000008</v>
      </c>
      <c r="AG43">
        <v>4.9530000000000003</v>
      </c>
      <c r="AH43">
        <v>5.4829999999999997</v>
      </c>
      <c r="AI43">
        <v>5.165</v>
      </c>
      <c r="AJ43">
        <v>29.771999999999998</v>
      </c>
      <c r="AK43">
        <v>17.355</v>
      </c>
      <c r="AL43" t="s">
        <v>490</v>
      </c>
      <c r="AM43">
        <v>-1</v>
      </c>
      <c r="AN43">
        <v>12.1100244498778</v>
      </c>
      <c r="AO43" t="s">
        <v>525</v>
      </c>
      <c r="AP43">
        <v>19.752695372658199</v>
      </c>
      <c r="AQ43" t="s">
        <v>526</v>
      </c>
      <c r="AR43">
        <v>7.0447361903355397</v>
      </c>
      <c r="AS43" t="s">
        <v>218</v>
      </c>
      <c r="AT43" s="10">
        <v>1154648526</v>
      </c>
      <c r="AU43" s="10">
        <v>28.5124220934613</v>
      </c>
      <c r="AV43" s="10">
        <v>58.455238853036299</v>
      </c>
      <c r="AW43" s="10">
        <v>163.902308731451</v>
      </c>
      <c r="AX43" s="10">
        <v>95.346506588734101</v>
      </c>
      <c r="AY43" s="10">
        <f t="shared" si="0"/>
        <v>7.8048718443548095</v>
      </c>
      <c r="AZ43" s="10">
        <v>0.95041406978204401</v>
      </c>
      <c r="BA43" s="10">
        <v>1.94850796176788</v>
      </c>
      <c r="BB43" s="10">
        <v>5.4634102910483602</v>
      </c>
      <c r="BC43" s="10">
        <v>3.17821688629114</v>
      </c>
      <c r="BD43" s="10">
        <v>0.11404968837384501</v>
      </c>
      <c r="BE43" s="10">
        <v>0.23382095541214501</v>
      </c>
      <c r="BF43" s="10">
        <v>0.65560923492580303</v>
      </c>
      <c r="BH43" s="10" t="s">
        <v>196</v>
      </c>
      <c r="BI43" s="10" t="e">
        <f t="shared" si="1"/>
        <v>#VALUE!</v>
      </c>
      <c r="BJ43" s="10"/>
      <c r="BK43" s="10"/>
      <c r="BL43" s="10"/>
      <c r="BM43" s="10"/>
    </row>
    <row r="44" spans="1:65" x14ac:dyDescent="0.25">
      <c r="A44">
        <v>42</v>
      </c>
      <c r="B44">
        <v>2018</v>
      </c>
      <c r="C44" t="s">
        <v>186</v>
      </c>
      <c r="D44" t="s">
        <v>88</v>
      </c>
      <c r="E44">
        <v>43.086694000000001</v>
      </c>
      <c r="F44">
        <v>-79.003833</v>
      </c>
      <c r="G44" t="s">
        <v>89</v>
      </c>
      <c r="H44" s="1">
        <v>110000327361</v>
      </c>
      <c r="I44" s="6" t="s">
        <v>191</v>
      </c>
      <c r="J44" s="4">
        <v>1.0884353739999999</v>
      </c>
      <c r="K44" s="1">
        <v>4120104000901</v>
      </c>
      <c r="L44" t="s">
        <v>87</v>
      </c>
      <c r="O44">
        <v>0</v>
      </c>
      <c r="P44" t="s">
        <v>196</v>
      </c>
      <c r="Q44" t="s">
        <v>196</v>
      </c>
      <c r="R44" t="s">
        <v>196</v>
      </c>
      <c r="S44" t="s">
        <v>193</v>
      </c>
      <c r="T44" t="s">
        <v>196</v>
      </c>
      <c r="U44" t="s">
        <v>196</v>
      </c>
      <c r="V44">
        <v>15571665</v>
      </c>
      <c r="W44" t="s">
        <v>607</v>
      </c>
      <c r="X44">
        <v>5</v>
      </c>
      <c r="Y44">
        <v>304918.47100000002</v>
      </c>
      <c r="Z44">
        <v>297375.46799999999</v>
      </c>
      <c r="AA44">
        <v>229719.201</v>
      </c>
      <c r="AB44">
        <v>77175.089000000007</v>
      </c>
      <c r="AC44">
        <v>609465.75600000005</v>
      </c>
      <c r="AD44">
        <v>296505.50099999999</v>
      </c>
      <c r="AE44">
        <v>191853.473</v>
      </c>
      <c r="AF44">
        <v>197342.38099999999</v>
      </c>
      <c r="AG44">
        <v>138837.08499999999</v>
      </c>
      <c r="AH44">
        <v>108055.406</v>
      </c>
      <c r="AI44">
        <v>51750.752999999997</v>
      </c>
      <c r="AJ44">
        <v>143942.07</v>
      </c>
      <c r="AK44">
        <v>386889.78200000001</v>
      </c>
      <c r="AL44" t="s">
        <v>492</v>
      </c>
      <c r="AM44">
        <v>-1</v>
      </c>
      <c r="AN44">
        <v>126529.958435208</v>
      </c>
      <c r="AO44" t="s">
        <v>525</v>
      </c>
      <c r="AP44">
        <v>407004.23451705201</v>
      </c>
      <c r="AQ44" t="s">
        <v>526</v>
      </c>
      <c r="AR44">
        <v>101949.14350793201</v>
      </c>
      <c r="AS44" t="s">
        <v>218</v>
      </c>
      <c r="AT44" s="10">
        <v>1088435374</v>
      </c>
      <c r="AU44" s="10">
        <v>1.4599642537430899E-3</v>
      </c>
      <c r="AV44" s="10">
        <v>2.67426056461434E-3</v>
      </c>
      <c r="AW44" s="10">
        <v>1.0676258147429301E-2</v>
      </c>
      <c r="AX44" s="10">
        <v>8.6021949857618494E-3</v>
      </c>
      <c r="AY44" s="10">
        <f t="shared" si="0"/>
        <v>5.08393245115681E-4</v>
      </c>
      <c r="AZ44" s="10">
        <v>4.8665475124769798E-5</v>
      </c>
      <c r="BA44" s="10">
        <v>8.9142018820478102E-5</v>
      </c>
      <c r="BB44" s="10">
        <v>3.5587527158097599E-4</v>
      </c>
      <c r="BC44" s="10">
        <v>2.86739832858728E-4</v>
      </c>
      <c r="BD44" s="10">
        <v>5.83985701497237E-6</v>
      </c>
      <c r="BE44" s="10">
        <v>1.06970422584574E-5</v>
      </c>
      <c r="BF44" s="10">
        <v>4.2705032589717097E-5</v>
      </c>
      <c r="BH44" s="10">
        <v>1</v>
      </c>
      <c r="BI44" s="10">
        <f t="shared" si="1"/>
        <v>1.06970422584574E-5</v>
      </c>
      <c r="BJ44" s="10"/>
      <c r="BK44" s="10"/>
      <c r="BL44" s="10"/>
      <c r="BM44" s="10"/>
    </row>
    <row r="45" spans="1:65" x14ac:dyDescent="0.25">
      <c r="A45">
        <v>43</v>
      </c>
      <c r="B45">
        <v>2015</v>
      </c>
      <c r="C45" t="s">
        <v>186</v>
      </c>
      <c r="D45" t="s">
        <v>122</v>
      </c>
      <c r="E45">
        <v>39.355575000000002</v>
      </c>
      <c r="F45">
        <v>-81.299837999999994</v>
      </c>
      <c r="G45" t="s">
        <v>123</v>
      </c>
      <c r="H45" s="1">
        <v>110000344850</v>
      </c>
      <c r="I45" s="6" t="s">
        <v>187</v>
      </c>
      <c r="J45" s="4">
        <v>1.075963719</v>
      </c>
      <c r="K45" s="1">
        <v>5030201001962</v>
      </c>
      <c r="L45" t="s">
        <v>121</v>
      </c>
      <c r="M45" t="s">
        <v>202</v>
      </c>
      <c r="N45" t="s">
        <v>201</v>
      </c>
      <c r="O45">
        <v>0</v>
      </c>
      <c r="P45" t="s">
        <v>196</v>
      </c>
      <c r="Q45" t="s">
        <v>196</v>
      </c>
      <c r="R45" t="s">
        <v>196</v>
      </c>
      <c r="S45" t="s">
        <v>193</v>
      </c>
      <c r="T45" t="s">
        <v>196</v>
      </c>
      <c r="U45" t="s">
        <v>196</v>
      </c>
      <c r="V45">
        <v>15433612</v>
      </c>
      <c r="W45" t="s">
        <v>196</v>
      </c>
      <c r="X45">
        <v>1</v>
      </c>
      <c r="Y45">
        <v>0.56000000000000005</v>
      </c>
      <c r="Z45">
        <v>2.0939999999999999</v>
      </c>
      <c r="AA45">
        <v>5.97</v>
      </c>
      <c r="AB45">
        <v>1.63</v>
      </c>
      <c r="AC45">
        <v>0.78600000000000003</v>
      </c>
      <c r="AD45">
        <v>0.622</v>
      </c>
      <c r="AE45">
        <v>0.41599999999999998</v>
      </c>
      <c r="AF45">
        <v>0.28399999999999997</v>
      </c>
      <c r="AG45">
        <v>0.2</v>
      </c>
      <c r="AH45">
        <v>0.24099999999999999</v>
      </c>
      <c r="AI45">
        <v>0.30599999999999999</v>
      </c>
      <c r="AJ45">
        <v>0.63600000000000001</v>
      </c>
      <c r="AK45">
        <v>0.93300000000000005</v>
      </c>
      <c r="AL45" t="s">
        <v>490</v>
      </c>
      <c r="AM45">
        <v>-1</v>
      </c>
      <c r="AN45">
        <v>0.48899755501222503</v>
      </c>
      <c r="AO45" t="s">
        <v>525</v>
      </c>
      <c r="AP45">
        <v>0.635894339678165</v>
      </c>
      <c r="AQ45" t="s">
        <v>526</v>
      </c>
      <c r="AR45">
        <v>0.25407579477699399</v>
      </c>
      <c r="AS45" t="s">
        <v>218</v>
      </c>
      <c r="AT45" s="10">
        <v>1075963719</v>
      </c>
      <c r="AU45" s="10">
        <v>785.83778762678503</v>
      </c>
      <c r="AV45" s="10">
        <v>1692.04795806888</v>
      </c>
      <c r="AW45" s="10">
        <v>4234.8139457534298</v>
      </c>
      <c r="AX45" s="10">
        <v>2200.3458053549998</v>
      </c>
      <c r="AY45" s="10">
        <f t="shared" si="0"/>
        <v>201.65780694063952</v>
      </c>
      <c r="AZ45" s="10">
        <v>26.194592920892799</v>
      </c>
      <c r="BA45" s="10">
        <v>56.401598602296097</v>
      </c>
      <c r="BB45" s="10">
        <v>141.16046485844799</v>
      </c>
      <c r="BC45" s="10">
        <v>73.344860178499999</v>
      </c>
      <c r="BD45" s="10">
        <v>3.1433511505071401</v>
      </c>
      <c r="BE45" s="10">
        <v>6.7681918322755301</v>
      </c>
      <c r="BF45" s="10">
        <v>16.939255783013699</v>
      </c>
      <c r="BH45" s="10">
        <v>7.06072452565611E-6</v>
      </c>
      <c r="BI45" s="10">
        <f t="shared" si="1"/>
        <v>4.7788338064493199E-5</v>
      </c>
      <c r="BJ45" s="10"/>
      <c r="BK45" s="10"/>
      <c r="BL45" s="10"/>
      <c r="BM45" s="10"/>
    </row>
    <row r="46" spans="1:65" x14ac:dyDescent="0.25">
      <c r="A46">
        <v>44</v>
      </c>
      <c r="B46">
        <v>2019</v>
      </c>
      <c r="C46" t="s">
        <v>186</v>
      </c>
      <c r="D46" t="s">
        <v>126</v>
      </c>
      <c r="E46">
        <v>38.772219999999997</v>
      </c>
      <c r="F46">
        <v>-82.205560000000006</v>
      </c>
      <c r="G46" t="s">
        <v>127</v>
      </c>
      <c r="H46" s="1">
        <v>110000607772</v>
      </c>
      <c r="I46" s="6" t="s">
        <v>188</v>
      </c>
      <c r="J46" s="4">
        <v>0.82587301599999996</v>
      </c>
      <c r="K46" s="1">
        <v>5090101001861</v>
      </c>
      <c r="L46" t="s">
        <v>125</v>
      </c>
      <c r="O46">
        <v>0</v>
      </c>
      <c r="P46" t="s">
        <v>196</v>
      </c>
      <c r="Q46" t="s">
        <v>196</v>
      </c>
      <c r="R46" t="s">
        <v>196</v>
      </c>
      <c r="S46" t="s">
        <v>193</v>
      </c>
      <c r="T46" t="s">
        <v>196</v>
      </c>
      <c r="U46" t="s">
        <v>196</v>
      </c>
      <c r="V46">
        <v>3369850</v>
      </c>
      <c r="W46" t="s">
        <v>608</v>
      </c>
      <c r="X46">
        <v>8</v>
      </c>
      <c r="Y46">
        <v>78460.569000000003</v>
      </c>
      <c r="Z46">
        <v>86246.373000000007</v>
      </c>
      <c r="AA46">
        <v>112540.78</v>
      </c>
      <c r="AB46">
        <v>144326.98000000001</v>
      </c>
      <c r="AC46">
        <v>119414.13400000001</v>
      </c>
      <c r="AD46">
        <v>88804.877999999997</v>
      </c>
      <c r="AE46">
        <v>60415.87</v>
      </c>
      <c r="AF46">
        <v>38761.480000000003</v>
      </c>
      <c r="AG46">
        <v>38159.71</v>
      </c>
      <c r="AH46">
        <v>30842.878000000001</v>
      </c>
      <c r="AI46">
        <v>40107.983999999997</v>
      </c>
      <c r="AJ46">
        <v>54080.800000000003</v>
      </c>
      <c r="AK46">
        <v>98908.535999999993</v>
      </c>
      <c r="AL46" t="s">
        <v>491</v>
      </c>
      <c r="AM46">
        <v>-1</v>
      </c>
      <c r="AN46">
        <v>75410.459657701693</v>
      </c>
      <c r="AO46" t="s">
        <v>525</v>
      </c>
      <c r="AP46">
        <v>159336.196847232</v>
      </c>
      <c r="AQ46" t="s">
        <v>526</v>
      </c>
      <c r="AR46">
        <v>59663.701002591399</v>
      </c>
      <c r="AS46" t="s">
        <v>218</v>
      </c>
      <c r="AT46" s="10">
        <v>825873016</v>
      </c>
      <c r="AU46" s="10">
        <v>4.3051187092971498E-3</v>
      </c>
      <c r="AV46" s="10">
        <v>5.1832102958490299E-3</v>
      </c>
      <c r="AW46" s="10">
        <v>1.38421352031804E-2</v>
      </c>
      <c r="AX46" s="10">
        <v>1.09517037788756E-2</v>
      </c>
      <c r="AY46" s="10">
        <f t="shared" si="0"/>
        <v>6.5914929538954284E-4</v>
      </c>
      <c r="AZ46" s="10">
        <v>1.43503956976572E-4</v>
      </c>
      <c r="BA46" s="10">
        <v>1.72773676528301E-4</v>
      </c>
      <c r="BB46" s="10">
        <v>4.6140450677267997E-4</v>
      </c>
      <c r="BC46" s="10">
        <v>3.6505679262918797E-4</v>
      </c>
      <c r="BD46" s="10">
        <v>1.7220474837188599E-5</v>
      </c>
      <c r="BE46" s="10">
        <v>2.0732841183396099E-5</v>
      </c>
      <c r="BF46" s="10">
        <v>5.5368540812721601E-5</v>
      </c>
      <c r="BH46" s="10">
        <v>0.98926511399148898</v>
      </c>
      <c r="BI46" s="10">
        <f t="shared" si="1"/>
        <v>2.0510276496659778E-5</v>
      </c>
      <c r="BJ46" s="10"/>
      <c r="BK46" s="10"/>
      <c r="BL46" s="10"/>
      <c r="BM46" s="10"/>
    </row>
    <row r="47" spans="1:65" x14ac:dyDescent="0.25">
      <c r="A47">
        <v>45</v>
      </c>
      <c r="B47">
        <v>2020</v>
      </c>
      <c r="C47" t="s">
        <v>186</v>
      </c>
      <c r="D47" t="s">
        <v>162</v>
      </c>
      <c r="E47">
        <v>39.828163000000004</v>
      </c>
      <c r="F47">
        <v>-91.436942000000002</v>
      </c>
      <c r="H47" s="1">
        <v>110040330718</v>
      </c>
      <c r="I47" s="6" t="s">
        <v>190</v>
      </c>
      <c r="J47" s="4">
        <v>0.73822110100000005</v>
      </c>
      <c r="K47" s="1">
        <v>7110004001360</v>
      </c>
      <c r="L47" t="s">
        <v>161</v>
      </c>
      <c r="O47">
        <v>0</v>
      </c>
      <c r="P47" t="s">
        <v>196</v>
      </c>
      <c r="Q47" t="s">
        <v>196</v>
      </c>
      <c r="R47" t="s">
        <v>196</v>
      </c>
      <c r="S47" t="s">
        <v>193</v>
      </c>
      <c r="T47" t="s">
        <v>196</v>
      </c>
      <c r="U47" t="s">
        <v>196</v>
      </c>
      <c r="V47">
        <v>2925433</v>
      </c>
      <c r="W47" t="s">
        <v>196</v>
      </c>
      <c r="X47">
        <v>1</v>
      </c>
      <c r="Y47">
        <v>1.0449999999999999</v>
      </c>
      <c r="Z47">
        <v>0.40400000000000003</v>
      </c>
      <c r="AA47">
        <v>1.089</v>
      </c>
      <c r="AB47">
        <v>28.817</v>
      </c>
      <c r="AC47">
        <v>3.0539999999999998</v>
      </c>
      <c r="AD47">
        <v>1.4850000000000001</v>
      </c>
      <c r="AE47">
        <v>0.71</v>
      </c>
      <c r="AF47">
        <v>0.4</v>
      </c>
      <c r="AG47">
        <v>0.19900000000000001</v>
      </c>
      <c r="AH47">
        <v>0.32700000000000001</v>
      </c>
      <c r="AI47">
        <v>0.33900000000000002</v>
      </c>
      <c r="AJ47">
        <v>2.2200000000000002</v>
      </c>
      <c r="AK47">
        <v>0.67300000000000004</v>
      </c>
      <c r="AL47" t="s">
        <v>490</v>
      </c>
      <c r="AM47">
        <v>-1</v>
      </c>
      <c r="AN47">
        <v>0.486552567237164</v>
      </c>
      <c r="AO47" t="s">
        <v>525</v>
      </c>
      <c r="AP47">
        <v>0.85170671234873496</v>
      </c>
      <c r="AQ47" t="s">
        <v>526</v>
      </c>
      <c r="AR47">
        <v>0.25276081437825398</v>
      </c>
      <c r="AS47" t="s">
        <v>218</v>
      </c>
      <c r="AT47" s="10">
        <v>738221101</v>
      </c>
      <c r="AU47" s="10">
        <v>288.93055531961699</v>
      </c>
      <c r="AV47" s="10">
        <v>866.75505816341695</v>
      </c>
      <c r="AW47" s="10">
        <v>2920.6311224146498</v>
      </c>
      <c r="AX47" s="10">
        <v>1517.2483935125599</v>
      </c>
      <c r="AY47" s="10">
        <f t="shared" si="0"/>
        <v>139.0776724959357</v>
      </c>
      <c r="AZ47" s="10">
        <v>9.6310185106539095</v>
      </c>
      <c r="BA47" s="10">
        <v>28.891835272113902</v>
      </c>
      <c r="BB47" s="10">
        <v>97.354370747155102</v>
      </c>
      <c r="BC47" s="10">
        <v>50.5749464504188</v>
      </c>
      <c r="BD47" s="10">
        <v>1.1557222212784699</v>
      </c>
      <c r="BE47" s="10">
        <v>3.4670202326536699</v>
      </c>
      <c r="BF47" s="10">
        <v>11.682524489658601</v>
      </c>
      <c r="BH47" s="10">
        <v>2.5680869133956399E-5</v>
      </c>
      <c r="BI47" s="10">
        <f t="shared" si="1"/>
        <v>8.903609287955796E-5</v>
      </c>
      <c r="BJ47" s="10"/>
      <c r="BK47" s="10"/>
      <c r="BL47" s="10"/>
      <c r="BM47" s="10"/>
    </row>
    <row r="48" spans="1:65" x14ac:dyDescent="0.25">
      <c r="A48">
        <v>46</v>
      </c>
      <c r="B48">
        <v>2016</v>
      </c>
      <c r="C48" t="s">
        <v>195</v>
      </c>
      <c r="D48" t="s">
        <v>609</v>
      </c>
      <c r="E48">
        <v>30.05509</v>
      </c>
      <c r="F48">
        <v>-90.830839999999995</v>
      </c>
      <c r="G48" t="s">
        <v>53</v>
      </c>
      <c r="H48" s="1">
        <v>110000597328</v>
      </c>
      <c r="I48" s="6" t="s">
        <v>187</v>
      </c>
      <c r="J48" s="4">
        <v>0.61729385599999997</v>
      </c>
      <c r="K48" s="1">
        <v>8070204000543</v>
      </c>
      <c r="L48" t="s">
        <v>610</v>
      </c>
      <c r="M48" t="s">
        <v>611</v>
      </c>
      <c r="N48" t="s">
        <v>52</v>
      </c>
      <c r="O48">
        <v>2019</v>
      </c>
      <c r="P48" t="s">
        <v>196</v>
      </c>
      <c r="Q48" t="s">
        <v>196</v>
      </c>
      <c r="R48" s="10">
        <v>2.96E-6</v>
      </c>
      <c r="S48" t="s">
        <v>193</v>
      </c>
      <c r="T48" s="10">
        <v>2.96E-6</v>
      </c>
      <c r="U48" s="10">
        <v>4.5798008000000001E-6</v>
      </c>
      <c r="V48">
        <v>15207511</v>
      </c>
      <c r="W48" t="s">
        <v>196</v>
      </c>
      <c r="X48">
        <v>1</v>
      </c>
      <c r="Y48">
        <v>0.45500000000000002</v>
      </c>
      <c r="Z48">
        <v>0.64</v>
      </c>
      <c r="AA48">
        <v>0.66900000000000004</v>
      </c>
      <c r="AB48">
        <v>0.58799999999999997</v>
      </c>
      <c r="AC48">
        <v>0.66600000000000004</v>
      </c>
      <c r="AD48">
        <v>0.39500000000000002</v>
      </c>
      <c r="AE48">
        <v>0.23</v>
      </c>
      <c r="AF48">
        <v>6.8000000000000005E-2</v>
      </c>
      <c r="AG48">
        <v>6.6000000000000003E-2</v>
      </c>
      <c r="AH48">
        <v>0.20200000000000001</v>
      </c>
      <c r="AI48">
        <v>1.423</v>
      </c>
      <c r="AJ48">
        <v>2.5760000000000001</v>
      </c>
      <c r="AK48">
        <v>0.621</v>
      </c>
      <c r="AL48" t="s">
        <v>490</v>
      </c>
      <c r="AM48" s="10">
        <v>1.11975569682152E-5</v>
      </c>
      <c r="AN48">
        <v>0.161369193154034</v>
      </c>
      <c r="AO48" t="s">
        <v>525</v>
      </c>
      <c r="AP48">
        <v>0.30591138558494402</v>
      </c>
      <c r="AQ48" t="s">
        <v>526</v>
      </c>
      <c r="AR48">
        <v>8.0635990187858497E-2</v>
      </c>
      <c r="AS48" t="s">
        <v>218</v>
      </c>
      <c r="AT48" s="10">
        <v>617293856</v>
      </c>
      <c r="AU48" s="10">
        <v>554.88612550329697</v>
      </c>
      <c r="AV48" s="10">
        <v>2017.8845413669401</v>
      </c>
      <c r="AW48" s="10">
        <v>7655.3143895410003</v>
      </c>
      <c r="AX48" s="10">
        <v>3825.3513197575699</v>
      </c>
      <c r="AY48" s="10">
        <f t="shared" si="0"/>
        <v>364.53878045433333</v>
      </c>
      <c r="AZ48" s="10">
        <v>18.496204183443201</v>
      </c>
      <c r="BA48" s="10">
        <v>67.2628180455647</v>
      </c>
      <c r="BB48" s="10">
        <v>255.17714631803301</v>
      </c>
      <c r="BC48" s="10">
        <v>127.511710658586</v>
      </c>
      <c r="BD48" s="10">
        <v>2.2195445020131901</v>
      </c>
      <c r="BE48" s="10">
        <v>8.0715381654677607</v>
      </c>
      <c r="BF48" s="10">
        <v>30.621257558164</v>
      </c>
      <c r="BH48" s="10" t="s">
        <v>196</v>
      </c>
      <c r="BI48" s="10" t="e">
        <f t="shared" si="1"/>
        <v>#VALUE!</v>
      </c>
      <c r="BJ48" s="10"/>
      <c r="BK48" s="10"/>
      <c r="BL48" s="10"/>
      <c r="BM48" s="10"/>
    </row>
    <row r="49" spans="1:65" x14ac:dyDescent="0.25">
      <c r="A49">
        <v>47</v>
      </c>
      <c r="B49">
        <v>2015</v>
      </c>
      <c r="C49" t="s">
        <v>186</v>
      </c>
      <c r="D49" t="s">
        <v>159</v>
      </c>
      <c r="E49">
        <v>42.452603000000003</v>
      </c>
      <c r="F49">
        <v>-70.973436000000007</v>
      </c>
      <c r="G49" t="s">
        <v>160</v>
      </c>
      <c r="H49" s="1">
        <v>110000310191</v>
      </c>
      <c r="I49" s="6" t="s">
        <v>190</v>
      </c>
      <c r="J49" s="4">
        <v>0.60590279999999996</v>
      </c>
      <c r="K49" s="1">
        <v>1090001001195</v>
      </c>
      <c r="L49" t="s">
        <v>158</v>
      </c>
      <c r="O49">
        <v>0</v>
      </c>
      <c r="P49" t="s">
        <v>196</v>
      </c>
      <c r="Q49" t="s">
        <v>196</v>
      </c>
      <c r="R49" t="s">
        <v>196</v>
      </c>
      <c r="S49" t="s">
        <v>193</v>
      </c>
      <c r="T49" t="s">
        <v>196</v>
      </c>
      <c r="U49" t="s">
        <v>196</v>
      </c>
      <c r="V49">
        <v>5867391</v>
      </c>
      <c r="W49" t="s">
        <v>612</v>
      </c>
      <c r="X49">
        <v>3</v>
      </c>
      <c r="Y49">
        <v>44.762</v>
      </c>
      <c r="Z49">
        <v>86.119</v>
      </c>
      <c r="AA49">
        <v>140.72399999999999</v>
      </c>
      <c r="AB49">
        <v>498.85700000000003</v>
      </c>
      <c r="AC49">
        <v>202.35599999999999</v>
      </c>
      <c r="AD49">
        <v>44.725999999999999</v>
      </c>
      <c r="AE49">
        <v>21.736999999999998</v>
      </c>
      <c r="AF49">
        <v>10.904</v>
      </c>
      <c r="AG49">
        <v>8.9649999999999999</v>
      </c>
      <c r="AH49">
        <v>7.6310000000000002</v>
      </c>
      <c r="AI49">
        <v>10.920999999999999</v>
      </c>
      <c r="AJ49">
        <v>40.524000000000001</v>
      </c>
      <c r="AK49">
        <v>87.784999999999997</v>
      </c>
      <c r="AL49" t="s">
        <v>491</v>
      </c>
      <c r="AM49">
        <v>-1</v>
      </c>
      <c r="AN49">
        <v>18.657701711491399</v>
      </c>
      <c r="AO49" t="s">
        <v>525</v>
      </c>
      <c r="AP49">
        <v>40.468656811061003</v>
      </c>
      <c r="AQ49" t="s">
        <v>526</v>
      </c>
      <c r="AR49">
        <v>11.0200955979378</v>
      </c>
      <c r="AS49" t="s">
        <v>218</v>
      </c>
      <c r="AT49" s="10">
        <v>605902800</v>
      </c>
      <c r="AU49" s="10">
        <v>5.5362639113533803</v>
      </c>
      <c r="AV49" s="10">
        <v>14.9721499981782</v>
      </c>
      <c r="AW49" s="10">
        <v>54.981628300337299</v>
      </c>
      <c r="AX49" s="10">
        <v>32.474675036037198</v>
      </c>
      <c r="AY49" s="10">
        <f t="shared" si="0"/>
        <v>2.6181727762065381</v>
      </c>
      <c r="AZ49" s="10">
        <v>0.184542130378446</v>
      </c>
      <c r="BA49" s="10">
        <v>0.49907166660593899</v>
      </c>
      <c r="BB49" s="10">
        <v>1.8327209433445799</v>
      </c>
      <c r="BC49" s="10">
        <v>1.0824891678679101</v>
      </c>
      <c r="BD49" s="10">
        <v>2.2145055645413501E-2</v>
      </c>
      <c r="BE49" s="10">
        <v>5.9888599992712697E-2</v>
      </c>
      <c r="BF49" s="10">
        <v>0.21992651320134901</v>
      </c>
      <c r="BH49" s="10" t="s">
        <v>196</v>
      </c>
      <c r="BI49" s="10" t="e">
        <f t="shared" si="1"/>
        <v>#VALUE!</v>
      </c>
      <c r="BJ49" s="10"/>
      <c r="BK49" s="10"/>
      <c r="BL49" s="10"/>
      <c r="BM49" s="10"/>
    </row>
    <row r="50" spans="1:65" x14ac:dyDescent="0.25">
      <c r="A50">
        <v>48</v>
      </c>
      <c r="B50">
        <v>2017</v>
      </c>
      <c r="C50" t="s">
        <v>186</v>
      </c>
      <c r="D50" t="s">
        <v>180</v>
      </c>
      <c r="E50">
        <v>40.610097000000003</v>
      </c>
      <c r="F50">
        <v>-74.204927999999995</v>
      </c>
      <c r="H50" s="1">
        <v>110002468669</v>
      </c>
      <c r="I50" s="6" t="s">
        <v>613</v>
      </c>
      <c r="J50" s="4">
        <v>0.57935733300000003</v>
      </c>
      <c r="K50" s="1">
        <v>2030104000564</v>
      </c>
      <c r="L50" t="s">
        <v>179</v>
      </c>
      <c r="O50">
        <v>0</v>
      </c>
      <c r="P50" t="s">
        <v>196</v>
      </c>
      <c r="Q50" t="s">
        <v>196</v>
      </c>
      <c r="R50" t="s">
        <v>196</v>
      </c>
      <c r="S50" t="s">
        <v>193</v>
      </c>
      <c r="T50" t="s">
        <v>196</v>
      </c>
      <c r="U50" t="s">
        <v>196</v>
      </c>
      <c r="V50">
        <v>6261866</v>
      </c>
      <c r="W50" t="s">
        <v>196</v>
      </c>
      <c r="X50">
        <v>4</v>
      </c>
      <c r="Y50">
        <v>128.648</v>
      </c>
      <c r="Z50">
        <v>160.398</v>
      </c>
      <c r="AA50">
        <v>119.03700000000001</v>
      </c>
      <c r="AB50">
        <v>174.078</v>
      </c>
      <c r="AC50">
        <v>178.34</v>
      </c>
      <c r="AD50">
        <v>125.61499999999999</v>
      </c>
      <c r="AE50">
        <v>86.349000000000004</v>
      </c>
      <c r="AF50">
        <v>91.384</v>
      </c>
      <c r="AG50">
        <v>73.828999999999994</v>
      </c>
      <c r="AH50">
        <v>75.042000000000002</v>
      </c>
      <c r="AI50">
        <v>55.959000000000003</v>
      </c>
      <c r="AJ50">
        <v>111.464</v>
      </c>
      <c r="AK50">
        <v>158.36199999999999</v>
      </c>
      <c r="AL50" t="s">
        <v>492</v>
      </c>
      <c r="AM50">
        <v>-1</v>
      </c>
      <c r="AN50">
        <v>136.819070904645</v>
      </c>
      <c r="AO50" t="s">
        <v>525</v>
      </c>
      <c r="AP50">
        <v>208.179705958602</v>
      </c>
      <c r="AQ50" t="s">
        <v>526</v>
      </c>
      <c r="AR50">
        <v>86.682615765973594</v>
      </c>
      <c r="AS50" t="s">
        <v>218</v>
      </c>
      <c r="AT50" s="10">
        <v>579357333</v>
      </c>
      <c r="AU50" s="10">
        <v>1.84190309368976</v>
      </c>
      <c r="AV50" s="10">
        <v>2.7829673902758301</v>
      </c>
      <c r="AW50" s="10">
        <v>6.6836623223756098</v>
      </c>
      <c r="AX50" s="10">
        <v>4.2344779069854699</v>
      </c>
      <c r="AY50" s="10">
        <f t="shared" si="0"/>
        <v>0.31826963439883854</v>
      </c>
      <c r="AZ50" s="10">
        <v>6.1396769789658599E-2</v>
      </c>
      <c r="BA50" s="10">
        <v>9.2765579675861007E-2</v>
      </c>
      <c r="BB50" s="10">
        <v>0.222788744079187</v>
      </c>
      <c r="BC50" s="10">
        <v>0.14114926356618199</v>
      </c>
      <c r="BD50" s="10">
        <v>7.3676123747590302E-3</v>
      </c>
      <c r="BE50" s="10">
        <v>1.11318695611033E-2</v>
      </c>
      <c r="BF50" s="10">
        <v>2.6734649289502501E-2</v>
      </c>
      <c r="BH50" s="10" t="s">
        <v>196</v>
      </c>
      <c r="BI50" s="10" t="e">
        <f t="shared" si="1"/>
        <v>#VALUE!</v>
      </c>
      <c r="BJ50" s="10"/>
      <c r="BK50" s="10"/>
      <c r="BL50" s="10"/>
      <c r="BM50" s="10"/>
    </row>
    <row r="51" spans="1:65" x14ac:dyDescent="0.25">
      <c r="A51">
        <v>49</v>
      </c>
      <c r="B51">
        <v>2019</v>
      </c>
      <c r="C51" t="s">
        <v>186</v>
      </c>
      <c r="D51" t="s">
        <v>157</v>
      </c>
      <c r="E51">
        <v>29.924576999999999</v>
      </c>
      <c r="F51">
        <v>-90.145308</v>
      </c>
      <c r="H51" s="1">
        <v>110000834688</v>
      </c>
      <c r="I51" s="6" t="s">
        <v>673</v>
      </c>
      <c r="J51" s="4">
        <v>0.501390055</v>
      </c>
      <c r="K51" s="1">
        <v>8090100000652</v>
      </c>
      <c r="L51" t="s">
        <v>156</v>
      </c>
      <c r="M51" t="s">
        <v>614</v>
      </c>
      <c r="O51">
        <v>0</v>
      </c>
      <c r="P51" t="s">
        <v>196</v>
      </c>
      <c r="Q51" t="s">
        <v>196</v>
      </c>
      <c r="R51" t="s">
        <v>196</v>
      </c>
      <c r="S51" t="s">
        <v>193</v>
      </c>
      <c r="T51" t="s">
        <v>196</v>
      </c>
      <c r="U51" t="s">
        <v>196</v>
      </c>
      <c r="V51">
        <v>22795715</v>
      </c>
      <c r="W51" t="s">
        <v>553</v>
      </c>
      <c r="X51">
        <v>10</v>
      </c>
      <c r="Y51">
        <v>539541.86</v>
      </c>
      <c r="Z51">
        <v>653609.68799999997</v>
      </c>
      <c r="AA51">
        <v>682231.19700000004</v>
      </c>
      <c r="AB51">
        <v>812107.03700000001</v>
      </c>
      <c r="AC51">
        <v>865334.42700000003</v>
      </c>
      <c r="AD51">
        <v>704763.17500000005</v>
      </c>
      <c r="AE51">
        <v>532565.94900000002</v>
      </c>
      <c r="AF51">
        <v>487183.80300000001</v>
      </c>
      <c r="AG51">
        <v>376281.158</v>
      </c>
      <c r="AH51">
        <v>297283.60499999998</v>
      </c>
      <c r="AI51">
        <v>283373.967</v>
      </c>
      <c r="AJ51">
        <v>371520.46399999998</v>
      </c>
      <c r="AK51">
        <v>626222.09699999995</v>
      </c>
      <c r="AL51" t="s">
        <v>492</v>
      </c>
      <c r="AM51">
        <v>-1</v>
      </c>
      <c r="AN51">
        <v>692845.88508557505</v>
      </c>
      <c r="AO51" t="s">
        <v>525</v>
      </c>
      <c r="AP51">
        <v>1408629.7365399599</v>
      </c>
      <c r="AQ51" t="s">
        <v>526</v>
      </c>
      <c r="AR51">
        <v>592679.71241806098</v>
      </c>
      <c r="AS51" t="s">
        <v>218</v>
      </c>
      <c r="AT51" s="10">
        <v>501390055</v>
      </c>
      <c r="AU51" s="10">
        <v>3.8007900349937599E-4</v>
      </c>
      <c r="AV51" s="10">
        <v>3.5594169425357599E-4</v>
      </c>
      <c r="AW51" s="10">
        <v>8.4597134758399202E-4</v>
      </c>
      <c r="AX51" s="10">
        <v>7.2366750787308603E-4</v>
      </c>
      <c r="AY51" s="10">
        <f t="shared" si="0"/>
        <v>4.0284349884952001E-5</v>
      </c>
      <c r="AZ51" s="10">
        <v>1.2669300116645901E-5</v>
      </c>
      <c r="BA51" s="10">
        <v>1.18647231417859E-5</v>
      </c>
      <c r="BB51" s="10">
        <v>2.81990449194664E-5</v>
      </c>
      <c r="BC51" s="10">
        <v>2.4122250262436199E-5</v>
      </c>
      <c r="BD51" s="10">
        <v>1.5203160139975101E-6</v>
      </c>
      <c r="BE51" s="10">
        <v>1.4237667770142999E-6</v>
      </c>
      <c r="BF51" s="10">
        <v>3.3838853903359702E-6</v>
      </c>
      <c r="BH51" s="10">
        <v>0.99997033873668595</v>
      </c>
      <c r="BI51" s="10">
        <f t="shared" si="1"/>
        <v>1.4237245462930291E-6</v>
      </c>
      <c r="BJ51" s="10"/>
      <c r="BK51" s="10"/>
      <c r="BL51" s="10"/>
      <c r="BM51" s="10"/>
    </row>
    <row r="52" spans="1:65" x14ac:dyDescent="0.25">
      <c r="A52">
        <v>50</v>
      </c>
      <c r="B52">
        <v>2020</v>
      </c>
      <c r="C52" t="s">
        <v>186</v>
      </c>
      <c r="D52" t="s">
        <v>91</v>
      </c>
      <c r="E52">
        <v>40.73095</v>
      </c>
      <c r="F52">
        <v>-73.942520000000002</v>
      </c>
      <c r="H52" s="1">
        <v>110037107154</v>
      </c>
      <c r="I52" s="6" t="s">
        <v>191</v>
      </c>
      <c r="J52" s="4">
        <v>0.43039878500000001</v>
      </c>
      <c r="K52" s="1">
        <v>2030101001969</v>
      </c>
      <c r="L52" t="s">
        <v>90</v>
      </c>
      <c r="O52">
        <v>0</v>
      </c>
      <c r="P52" t="s">
        <v>196</v>
      </c>
      <c r="Q52" t="s">
        <v>196</v>
      </c>
      <c r="R52" t="s">
        <v>196</v>
      </c>
      <c r="S52" t="s">
        <v>193</v>
      </c>
      <c r="T52" t="s">
        <v>196</v>
      </c>
      <c r="U52" t="s">
        <v>196</v>
      </c>
      <c r="V52">
        <v>26408400</v>
      </c>
      <c r="W52" t="s">
        <v>196</v>
      </c>
      <c r="X52">
        <v>7</v>
      </c>
      <c r="Y52">
        <v>70.558999999999997</v>
      </c>
      <c r="Z52">
        <v>188.185</v>
      </c>
      <c r="AA52">
        <v>265.79000000000002</v>
      </c>
      <c r="AB52">
        <v>262.05399999999997</v>
      </c>
      <c r="AC52">
        <v>111.151</v>
      </c>
      <c r="AD52">
        <v>70.168000000000006</v>
      </c>
      <c r="AE52">
        <v>46.997</v>
      </c>
      <c r="AF52">
        <v>27.66</v>
      </c>
      <c r="AG52">
        <v>22.436</v>
      </c>
      <c r="AH52">
        <v>24.474</v>
      </c>
      <c r="AI52">
        <v>24.077999999999999</v>
      </c>
      <c r="AJ52">
        <v>61.491</v>
      </c>
      <c r="AK52">
        <v>112.25700000000001</v>
      </c>
      <c r="AL52" t="s">
        <v>490</v>
      </c>
      <c r="AM52">
        <v>-1</v>
      </c>
      <c r="AN52">
        <v>54.855745721271397</v>
      </c>
      <c r="AO52" t="s">
        <v>525</v>
      </c>
      <c r="AP52">
        <v>92.948270472791293</v>
      </c>
      <c r="AQ52" t="s">
        <v>526</v>
      </c>
      <c r="AR52">
        <v>33.653927266043603</v>
      </c>
      <c r="AS52" t="s">
        <v>218</v>
      </c>
      <c r="AT52" s="10">
        <v>430398785</v>
      </c>
      <c r="AU52" s="10">
        <v>2.49483557115322</v>
      </c>
      <c r="AV52" s="10">
        <v>4.6305195654607703</v>
      </c>
      <c r="AW52" s="10">
        <v>12.788961644731</v>
      </c>
      <c r="AX52" s="10">
        <v>7.8460110119896598</v>
      </c>
      <c r="AY52" s="10">
        <f t="shared" si="0"/>
        <v>0.60899817355861907</v>
      </c>
      <c r="AZ52" s="10">
        <v>8.3161185705107304E-2</v>
      </c>
      <c r="BA52" s="10">
        <v>0.15435065218202601</v>
      </c>
      <c r="BB52" s="10">
        <v>0.42629872149103398</v>
      </c>
      <c r="BC52" s="10">
        <v>0.26153370039965501</v>
      </c>
      <c r="BD52" s="10">
        <v>9.9793422846128806E-3</v>
      </c>
      <c r="BE52" s="10">
        <v>1.85220782618431E-2</v>
      </c>
      <c r="BF52" s="10">
        <v>5.1155846578924101E-2</v>
      </c>
      <c r="BH52" s="10" t="s">
        <v>196</v>
      </c>
      <c r="BI52" s="10" t="e">
        <f t="shared" si="1"/>
        <v>#VALUE!</v>
      </c>
      <c r="BJ52" s="10"/>
      <c r="BK52" s="10"/>
      <c r="BL52" s="10"/>
      <c r="BM52" s="10"/>
    </row>
    <row r="53" spans="1:65" x14ac:dyDescent="0.25">
      <c r="A53">
        <v>51</v>
      </c>
      <c r="B53">
        <v>2017</v>
      </c>
      <c r="C53" t="s">
        <v>186</v>
      </c>
      <c r="D53" t="s">
        <v>57</v>
      </c>
      <c r="E53">
        <v>30.190567999999999</v>
      </c>
      <c r="F53">
        <v>-93.325823</v>
      </c>
      <c r="G53" t="s">
        <v>58</v>
      </c>
      <c r="H53" s="1">
        <v>110000748040</v>
      </c>
      <c r="I53" s="6" t="s">
        <v>187</v>
      </c>
      <c r="J53" s="4">
        <v>0.43038548799999998</v>
      </c>
      <c r="K53" s="1">
        <v>8080206000067</v>
      </c>
      <c r="L53" t="s">
        <v>615</v>
      </c>
      <c r="M53" t="s">
        <v>56</v>
      </c>
      <c r="O53">
        <v>0</v>
      </c>
      <c r="P53" t="s">
        <v>196</v>
      </c>
      <c r="Q53" t="s">
        <v>196</v>
      </c>
      <c r="R53" t="s">
        <v>196</v>
      </c>
      <c r="S53" t="s">
        <v>193</v>
      </c>
      <c r="T53" t="s">
        <v>196</v>
      </c>
      <c r="U53" t="s">
        <v>196</v>
      </c>
      <c r="V53">
        <v>3709758</v>
      </c>
      <c r="W53" t="s">
        <v>616</v>
      </c>
      <c r="X53">
        <v>2</v>
      </c>
      <c r="Y53">
        <v>33.926000000000002</v>
      </c>
      <c r="Z53">
        <v>62.956000000000003</v>
      </c>
      <c r="AA53">
        <v>52.707000000000001</v>
      </c>
      <c r="AB53">
        <v>40.158000000000001</v>
      </c>
      <c r="AC53">
        <v>33.052999999999997</v>
      </c>
      <c r="AD53">
        <v>32.215000000000003</v>
      </c>
      <c r="AE53">
        <v>25.076000000000001</v>
      </c>
      <c r="AF53">
        <v>11.928000000000001</v>
      </c>
      <c r="AG53">
        <v>9.548</v>
      </c>
      <c r="AH53">
        <v>15.43</v>
      </c>
      <c r="AI53">
        <v>39.317999999999998</v>
      </c>
      <c r="AJ53">
        <v>70.698999999999998</v>
      </c>
      <c r="AK53">
        <v>51.784999999999997</v>
      </c>
      <c r="AL53" t="s">
        <v>490</v>
      </c>
      <c r="AM53">
        <v>-1</v>
      </c>
      <c r="AN53">
        <v>23.344743276283602</v>
      </c>
      <c r="AO53" t="s">
        <v>525</v>
      </c>
      <c r="AP53">
        <v>40.345808172293999</v>
      </c>
      <c r="AQ53" t="s">
        <v>526</v>
      </c>
      <c r="AR53">
        <v>13.897681945561001</v>
      </c>
      <c r="AS53" t="s">
        <v>218</v>
      </c>
      <c r="AT53" s="10">
        <v>430385488</v>
      </c>
      <c r="AU53" s="10">
        <v>5.1885770380239302</v>
      </c>
      <c r="AV53" s="10">
        <v>10.6674152160261</v>
      </c>
      <c r="AW53" s="10">
        <v>30.968149198252899</v>
      </c>
      <c r="AX53" s="10">
        <v>18.4360771462086</v>
      </c>
      <c r="AY53" s="10">
        <f t="shared" si="0"/>
        <v>1.4746737713453761</v>
      </c>
      <c r="AZ53" s="10">
        <v>0.172952567934131</v>
      </c>
      <c r="BA53" s="10">
        <v>0.35558050720086998</v>
      </c>
      <c r="BB53" s="10">
        <v>1.03227163994176</v>
      </c>
      <c r="BC53" s="10">
        <v>0.61453590487362098</v>
      </c>
      <c r="BD53" s="10">
        <v>2.07543081520957E-2</v>
      </c>
      <c r="BE53" s="10">
        <v>4.2669660864104397E-2</v>
      </c>
      <c r="BF53" s="10">
        <v>0.123872596793012</v>
      </c>
      <c r="BH53" s="10" t="s">
        <v>196</v>
      </c>
      <c r="BI53" s="10" t="e">
        <f t="shared" si="1"/>
        <v>#VALUE!</v>
      </c>
      <c r="BJ53" s="10"/>
      <c r="BK53" s="10"/>
      <c r="BL53" s="10"/>
      <c r="BM53" s="10"/>
    </row>
    <row r="54" spans="1:65" x14ac:dyDescent="0.25">
      <c r="A54">
        <v>52</v>
      </c>
      <c r="B54">
        <v>2016</v>
      </c>
      <c r="C54" t="s">
        <v>186</v>
      </c>
      <c r="D54" t="s">
        <v>20</v>
      </c>
      <c r="E54">
        <v>41.412533000000003</v>
      </c>
      <c r="F54">
        <v>-88.197281000000004</v>
      </c>
      <c r="G54" t="s">
        <v>21</v>
      </c>
      <c r="H54" s="1">
        <v>110008458597</v>
      </c>
      <c r="I54" s="6" t="s">
        <v>188</v>
      </c>
      <c r="J54" s="4">
        <v>0.33106575999999999</v>
      </c>
      <c r="K54" s="1">
        <v>7120004000957</v>
      </c>
      <c r="L54" t="s">
        <v>19</v>
      </c>
      <c r="O54">
        <v>0</v>
      </c>
      <c r="P54" t="s">
        <v>196</v>
      </c>
      <c r="Q54" t="s">
        <v>196</v>
      </c>
      <c r="R54" t="s">
        <v>196</v>
      </c>
      <c r="S54" t="s">
        <v>193</v>
      </c>
      <c r="T54" t="s">
        <v>196</v>
      </c>
      <c r="U54" t="s">
        <v>196</v>
      </c>
      <c r="V54">
        <v>14788127</v>
      </c>
      <c r="W54" t="s">
        <v>22</v>
      </c>
      <c r="X54">
        <v>5</v>
      </c>
      <c r="Y54">
        <v>4370.6260000000002</v>
      </c>
      <c r="Z54">
        <v>3770.7429999999999</v>
      </c>
      <c r="AA54">
        <v>4005.4270000000001</v>
      </c>
      <c r="AB54">
        <v>3595.4720000000002</v>
      </c>
      <c r="AC54">
        <v>4959.143</v>
      </c>
      <c r="AD54">
        <v>4830.5659999999998</v>
      </c>
      <c r="AE54">
        <v>5043.9949999999999</v>
      </c>
      <c r="AF54">
        <v>5000.5079999999998</v>
      </c>
      <c r="AG54">
        <v>5127.759</v>
      </c>
      <c r="AH54">
        <v>4681.0410000000002</v>
      </c>
      <c r="AI54">
        <v>3694.357</v>
      </c>
      <c r="AJ54">
        <v>3448.9119999999998</v>
      </c>
      <c r="AK54">
        <v>3613.2759999999998</v>
      </c>
      <c r="AL54" t="s">
        <v>493</v>
      </c>
      <c r="AM54">
        <v>-1</v>
      </c>
      <c r="AN54">
        <v>8432.5476772616094</v>
      </c>
      <c r="AO54" t="s">
        <v>525</v>
      </c>
      <c r="AP54">
        <v>11625.7500293543</v>
      </c>
      <c r="AQ54" t="s">
        <v>526</v>
      </c>
      <c r="AR54">
        <v>6176.5443619395901</v>
      </c>
      <c r="AS54" t="s">
        <v>218</v>
      </c>
      <c r="AT54" s="10">
        <v>331065760</v>
      </c>
      <c r="AU54" s="10">
        <v>3.0980892860656601E-2</v>
      </c>
      <c r="AV54" s="10">
        <v>2.8476937760065199E-2</v>
      </c>
      <c r="AW54" s="10">
        <v>5.360048282662E-2</v>
      </c>
      <c r="AX54" s="10">
        <v>3.92604670226437E-2</v>
      </c>
      <c r="AY54" s="10">
        <f t="shared" si="0"/>
        <v>2.5524039441247618E-3</v>
      </c>
      <c r="AZ54" s="10">
        <v>1.03269642868855E-3</v>
      </c>
      <c r="BA54" s="10">
        <v>9.4923125866884105E-4</v>
      </c>
      <c r="BB54" s="10">
        <v>1.7866827608873301E-3</v>
      </c>
      <c r="BC54" s="10">
        <v>1.30868223408812E-3</v>
      </c>
      <c r="BD54" s="10">
        <v>1.2392357144262601E-4</v>
      </c>
      <c r="BE54" s="10">
        <v>1.1390775104026099E-4</v>
      </c>
      <c r="BF54" s="10">
        <v>2.1440193130648001E-4</v>
      </c>
      <c r="BH54" s="10" t="s">
        <v>196</v>
      </c>
      <c r="BI54" s="10" t="e">
        <f t="shared" si="1"/>
        <v>#VALUE!</v>
      </c>
      <c r="BJ54" s="10"/>
      <c r="BK54" s="10"/>
      <c r="BL54" s="10"/>
      <c r="BM54" s="10"/>
    </row>
    <row r="55" spans="1:65" x14ac:dyDescent="0.25">
      <c r="A55">
        <v>53</v>
      </c>
      <c r="B55">
        <v>2017</v>
      </c>
      <c r="C55" t="s">
        <v>186</v>
      </c>
      <c r="D55" t="s">
        <v>15</v>
      </c>
      <c r="E55">
        <v>41.375383999999997</v>
      </c>
      <c r="F55">
        <v>-72.878625999999997</v>
      </c>
      <c r="H55" s="1">
        <v>110000748273</v>
      </c>
      <c r="I55" s="6" t="s">
        <v>187</v>
      </c>
      <c r="J55" s="4">
        <v>0.30343887000000003</v>
      </c>
      <c r="K55" s="1">
        <v>1100004000144</v>
      </c>
      <c r="L55" t="s">
        <v>617</v>
      </c>
      <c r="M55" t="s">
        <v>14</v>
      </c>
      <c r="O55">
        <v>0</v>
      </c>
      <c r="P55" t="s">
        <v>196</v>
      </c>
      <c r="Q55" t="s">
        <v>196</v>
      </c>
      <c r="R55" t="s">
        <v>196</v>
      </c>
      <c r="S55" t="s">
        <v>193</v>
      </c>
      <c r="T55" t="s">
        <v>196</v>
      </c>
      <c r="U55" t="s">
        <v>196</v>
      </c>
      <c r="V55">
        <v>6177268</v>
      </c>
      <c r="W55" t="s">
        <v>618</v>
      </c>
      <c r="X55">
        <v>4</v>
      </c>
      <c r="Y55">
        <v>281.06700000000001</v>
      </c>
      <c r="Z55">
        <v>385.84399999999999</v>
      </c>
      <c r="AA55">
        <v>426.39100000000002</v>
      </c>
      <c r="AB55">
        <v>629.38699999999994</v>
      </c>
      <c r="AC55">
        <v>556.56399999999996</v>
      </c>
      <c r="AD55">
        <v>308.267</v>
      </c>
      <c r="AE55">
        <v>235.89599999999999</v>
      </c>
      <c r="AF55">
        <v>144.333</v>
      </c>
      <c r="AG55">
        <v>133.535</v>
      </c>
      <c r="AH55">
        <v>128.262</v>
      </c>
      <c r="AI55">
        <v>185.523</v>
      </c>
      <c r="AJ55">
        <v>248.61</v>
      </c>
      <c r="AK55">
        <v>351.53500000000003</v>
      </c>
      <c r="AL55" t="s">
        <v>491</v>
      </c>
      <c r="AM55">
        <v>-1</v>
      </c>
      <c r="AN55">
        <v>313.59902200489</v>
      </c>
      <c r="AO55" t="s">
        <v>525</v>
      </c>
      <c r="AP55">
        <v>483.97517133813602</v>
      </c>
      <c r="AQ55" t="s">
        <v>526</v>
      </c>
      <c r="AR55">
        <v>204.56913026932301</v>
      </c>
      <c r="AS55" t="s">
        <v>218</v>
      </c>
      <c r="AT55" s="10">
        <v>303438870</v>
      </c>
      <c r="AU55" s="10">
        <v>0.44155485286426399</v>
      </c>
      <c r="AV55" s="10">
        <v>0.62697197701490803</v>
      </c>
      <c r="AW55" s="10">
        <v>1.4833072301794099</v>
      </c>
      <c r="AX55" s="10">
        <v>0.96760145506853101</v>
      </c>
      <c r="AY55" s="10">
        <f t="shared" si="0"/>
        <v>7.0633677627590943E-2</v>
      </c>
      <c r="AZ55" s="10">
        <v>1.4718495095475501E-2</v>
      </c>
      <c r="BA55" s="10">
        <v>2.0899065900496901E-2</v>
      </c>
      <c r="BB55" s="10">
        <v>4.9443574339313602E-2</v>
      </c>
      <c r="BC55" s="10">
        <v>3.2253381835617698E-2</v>
      </c>
      <c r="BD55" s="10">
        <v>1.7662194114570499E-3</v>
      </c>
      <c r="BE55" s="10">
        <v>2.50788790805963E-3</v>
      </c>
      <c r="BF55" s="10">
        <v>5.9332289207176302E-3</v>
      </c>
      <c r="BH55" s="10" t="s">
        <v>196</v>
      </c>
      <c r="BI55" s="10" t="e">
        <f t="shared" si="1"/>
        <v>#VALUE!</v>
      </c>
      <c r="BJ55" s="10"/>
      <c r="BK55" s="10"/>
      <c r="BL55" s="10"/>
      <c r="BM55" s="10"/>
    </row>
    <row r="56" spans="1:65" x14ac:dyDescent="0.25">
      <c r="A56">
        <v>54</v>
      </c>
      <c r="B56">
        <v>2017</v>
      </c>
      <c r="C56" t="s">
        <v>186</v>
      </c>
      <c r="D56" t="s">
        <v>131</v>
      </c>
      <c r="E56">
        <v>38.360185999999999</v>
      </c>
      <c r="F56">
        <v>-81.661257000000006</v>
      </c>
      <c r="H56" s="1">
        <v>110001929904</v>
      </c>
      <c r="I56" s="6" t="s">
        <v>189</v>
      </c>
      <c r="J56" s="4">
        <v>0.26712018100000001</v>
      </c>
      <c r="K56" s="1">
        <v>5050008000062</v>
      </c>
      <c r="L56" t="s">
        <v>619</v>
      </c>
      <c r="M56" t="s">
        <v>130</v>
      </c>
      <c r="O56">
        <v>0</v>
      </c>
      <c r="P56" t="s">
        <v>196</v>
      </c>
      <c r="Q56" t="s">
        <v>196</v>
      </c>
      <c r="R56" t="s">
        <v>196</v>
      </c>
      <c r="S56" t="s">
        <v>193</v>
      </c>
      <c r="T56" t="s">
        <v>196</v>
      </c>
      <c r="U56" t="s">
        <v>196</v>
      </c>
      <c r="V56">
        <v>19315500</v>
      </c>
      <c r="W56" t="s">
        <v>584</v>
      </c>
      <c r="X56">
        <v>6</v>
      </c>
      <c r="Y56">
        <v>16258.06</v>
      </c>
      <c r="Z56">
        <v>21874.815999999999</v>
      </c>
      <c r="AA56">
        <v>25016.257000000001</v>
      </c>
      <c r="AB56">
        <v>30258.697</v>
      </c>
      <c r="AC56">
        <v>21912.74</v>
      </c>
      <c r="AD56">
        <v>19727.022000000001</v>
      </c>
      <c r="AE56">
        <v>12376.29</v>
      </c>
      <c r="AF56">
        <v>7411.6509999999998</v>
      </c>
      <c r="AG56">
        <v>7064.518</v>
      </c>
      <c r="AH56">
        <v>5863.1989999999996</v>
      </c>
      <c r="AI56">
        <v>8098.076</v>
      </c>
      <c r="AJ56">
        <v>12688.197</v>
      </c>
      <c r="AK56">
        <v>18060.183000000001</v>
      </c>
      <c r="AL56" t="s">
        <v>491</v>
      </c>
      <c r="AM56">
        <v>-1</v>
      </c>
      <c r="AN56">
        <v>14335.4498777506</v>
      </c>
      <c r="AO56" t="s">
        <v>525</v>
      </c>
      <c r="AP56">
        <v>29306.699995055202</v>
      </c>
      <c r="AQ56" t="s">
        <v>526</v>
      </c>
      <c r="AR56">
        <v>10698.182814686899</v>
      </c>
      <c r="AS56" t="s">
        <v>218</v>
      </c>
      <c r="AT56" s="10">
        <v>267120181</v>
      </c>
      <c r="AU56" s="10">
        <v>6.7198764200033703E-3</v>
      </c>
      <c r="AV56" s="10">
        <v>9.1146454921594792E-3</v>
      </c>
      <c r="AW56" s="10">
        <v>2.4968743348944E-2</v>
      </c>
      <c r="AX56" s="10">
        <v>1.86335401593908E-2</v>
      </c>
      <c r="AY56" s="10">
        <f t="shared" si="0"/>
        <v>1.1889877785211428E-3</v>
      </c>
      <c r="AZ56" s="10">
        <v>2.23995880666779E-4</v>
      </c>
      <c r="BA56" s="10">
        <v>3.0382151640531599E-4</v>
      </c>
      <c r="BB56" s="10">
        <v>8.3229144496480098E-4</v>
      </c>
      <c r="BC56" s="10">
        <v>6.2111800531302697E-4</v>
      </c>
      <c r="BD56" s="10">
        <v>2.6879505680013499E-5</v>
      </c>
      <c r="BE56" s="10">
        <v>3.6458581968637901E-5</v>
      </c>
      <c r="BF56" s="10">
        <v>9.9874973395776105E-5</v>
      </c>
      <c r="BH56" s="10">
        <v>0.20498871960998</v>
      </c>
      <c r="BI56" s="10">
        <f t="shared" si="1"/>
        <v>7.4735980365465869E-6</v>
      </c>
      <c r="BJ56" s="10"/>
      <c r="BK56" s="10"/>
      <c r="BL56" s="10"/>
      <c r="BM56" s="10"/>
    </row>
    <row r="57" spans="1:65" x14ac:dyDescent="0.25">
      <c r="A57">
        <v>55</v>
      </c>
      <c r="B57">
        <v>2015</v>
      </c>
      <c r="C57" t="s">
        <v>186</v>
      </c>
      <c r="D57" t="s">
        <v>63</v>
      </c>
      <c r="E57">
        <v>42.569099999999999</v>
      </c>
      <c r="F57">
        <v>-83.674499999999995</v>
      </c>
      <c r="H57" s="1">
        <v>110017422733</v>
      </c>
      <c r="I57" s="6" t="s">
        <v>620</v>
      </c>
      <c r="J57" s="4">
        <v>0.25451097</v>
      </c>
      <c r="K57" s="1">
        <v>4090005002033</v>
      </c>
      <c r="L57" t="s">
        <v>621</v>
      </c>
      <c r="M57" t="s">
        <v>62</v>
      </c>
      <c r="O57">
        <v>0</v>
      </c>
      <c r="P57" t="s">
        <v>196</v>
      </c>
      <c r="Q57" t="s">
        <v>196</v>
      </c>
      <c r="R57" t="s">
        <v>196</v>
      </c>
      <c r="S57" t="s">
        <v>193</v>
      </c>
      <c r="T57" t="s">
        <v>196</v>
      </c>
      <c r="U57" t="s">
        <v>196</v>
      </c>
      <c r="V57">
        <v>13173959</v>
      </c>
      <c r="W57" t="s">
        <v>196</v>
      </c>
      <c r="X57">
        <v>2</v>
      </c>
      <c r="Y57">
        <v>10.946999999999999</v>
      </c>
      <c r="Z57">
        <v>0</v>
      </c>
      <c r="AA57">
        <v>0</v>
      </c>
      <c r="AB57">
        <v>139.66399999999999</v>
      </c>
      <c r="AC57">
        <v>49.533000000000001</v>
      </c>
      <c r="AD57">
        <v>15.693</v>
      </c>
      <c r="AE57">
        <v>11.231999999999999</v>
      </c>
      <c r="AF57">
        <v>6.6779999999999999</v>
      </c>
      <c r="AG57">
        <v>6.2640000000000002</v>
      </c>
      <c r="AH57">
        <v>7.266</v>
      </c>
      <c r="AI57">
        <v>7.1050000000000004</v>
      </c>
      <c r="AJ57">
        <v>3.0350000000000001</v>
      </c>
      <c r="AK57">
        <v>0.87</v>
      </c>
      <c r="AL57" t="s">
        <v>483</v>
      </c>
      <c r="AM57">
        <v>-1</v>
      </c>
      <c r="AN57">
        <v>2.1271393643031802</v>
      </c>
      <c r="AO57" t="s">
        <v>525</v>
      </c>
      <c r="AP57">
        <v>6.0107793367818099</v>
      </c>
      <c r="AQ57" t="s">
        <v>526</v>
      </c>
      <c r="AR57">
        <v>1.1639313652449299</v>
      </c>
      <c r="AS57" t="s">
        <v>218</v>
      </c>
      <c r="AT57" s="10">
        <v>254510970</v>
      </c>
      <c r="AU57" s="10">
        <v>9.5089966867634992</v>
      </c>
      <c r="AV57" s="10">
        <v>42.342424457768601</v>
      </c>
      <c r="AW57" s="10">
        <v>218.66492956519099</v>
      </c>
      <c r="AX57" s="10">
        <v>119.649410034483</v>
      </c>
      <c r="AY57" s="10">
        <f t="shared" si="0"/>
        <v>10.412615693580523</v>
      </c>
      <c r="AZ57" s="10">
        <v>0.31696655622545</v>
      </c>
      <c r="BA57" s="10">
        <v>1.41141414859229</v>
      </c>
      <c r="BB57" s="10">
        <v>7.2888309855063698</v>
      </c>
      <c r="BC57" s="10">
        <v>3.9883136678160902</v>
      </c>
      <c r="BD57" s="10">
        <v>3.8035986747054003E-2</v>
      </c>
      <c r="BE57" s="10">
        <v>0.169369697831074</v>
      </c>
      <c r="BF57" s="10">
        <v>0.87465971826076405</v>
      </c>
      <c r="BH57" s="10" t="s">
        <v>196</v>
      </c>
      <c r="BI57" s="10" t="e">
        <f t="shared" si="1"/>
        <v>#VALUE!</v>
      </c>
      <c r="BJ57" s="10"/>
      <c r="BK57" s="10"/>
      <c r="BL57" s="10"/>
      <c r="BM57" s="10"/>
    </row>
    <row r="58" spans="1:65" x14ac:dyDescent="0.25">
      <c r="A58">
        <v>56</v>
      </c>
      <c r="B58">
        <v>2020</v>
      </c>
      <c r="C58" t="s">
        <v>186</v>
      </c>
      <c r="D58" t="s">
        <v>104</v>
      </c>
      <c r="E58">
        <v>29.726111</v>
      </c>
      <c r="F58">
        <v>-95.089449999999999</v>
      </c>
      <c r="G58" t="s">
        <v>105</v>
      </c>
      <c r="H58" s="1">
        <v>110000619652</v>
      </c>
      <c r="I58" s="6" t="s">
        <v>188</v>
      </c>
      <c r="J58" s="4">
        <v>0.16553287999999999</v>
      </c>
      <c r="K58" s="1">
        <v>12040104000661</v>
      </c>
      <c r="L58" t="s">
        <v>103</v>
      </c>
      <c r="O58">
        <v>0</v>
      </c>
      <c r="P58" t="s">
        <v>196</v>
      </c>
      <c r="Q58" t="s">
        <v>196</v>
      </c>
      <c r="R58" t="s">
        <v>196</v>
      </c>
      <c r="S58" t="s">
        <v>193</v>
      </c>
      <c r="T58" t="s">
        <v>196</v>
      </c>
      <c r="U58" t="s">
        <v>196</v>
      </c>
      <c r="V58">
        <v>1439481</v>
      </c>
      <c r="W58" t="s">
        <v>622</v>
      </c>
      <c r="X58">
        <v>1</v>
      </c>
      <c r="Y58">
        <v>4.5670000000000002</v>
      </c>
      <c r="Z58">
        <v>8.6319999999999997</v>
      </c>
      <c r="AA58">
        <v>8.2880000000000003</v>
      </c>
      <c r="AB58">
        <v>5.6239999999999997</v>
      </c>
      <c r="AC58">
        <v>3.27</v>
      </c>
      <c r="AD58">
        <v>3.5139999999999998</v>
      </c>
      <c r="AE58">
        <v>3.5129999999999999</v>
      </c>
      <c r="AF58">
        <v>0.90400000000000003</v>
      </c>
      <c r="AG58">
        <v>0.622</v>
      </c>
      <c r="AH58">
        <v>0.42499999999999999</v>
      </c>
      <c r="AI58">
        <v>0.72699999999999998</v>
      </c>
      <c r="AJ58">
        <v>2.2650000000000001</v>
      </c>
      <c r="AK58">
        <v>7.8209999999999997</v>
      </c>
      <c r="AL58" t="s">
        <v>491</v>
      </c>
      <c r="AM58">
        <v>-1</v>
      </c>
      <c r="AN58">
        <v>1.03911980440098</v>
      </c>
      <c r="AO58" t="s">
        <v>525</v>
      </c>
      <c r="AP58">
        <v>2.6397350425423101</v>
      </c>
      <c r="AQ58" t="s">
        <v>526</v>
      </c>
      <c r="AR58">
        <v>0.55442813600549101</v>
      </c>
      <c r="AS58" t="s">
        <v>218</v>
      </c>
      <c r="AT58" s="10">
        <v>165532880</v>
      </c>
      <c r="AU58" s="10">
        <v>14.824380976571099</v>
      </c>
      <c r="AV58" s="10">
        <v>62.708142041625599</v>
      </c>
      <c r="AW58" s="10">
        <v>298.56507859182801</v>
      </c>
      <c r="AX58" s="10">
        <v>159.30105392941201</v>
      </c>
      <c r="AY58" s="10">
        <f t="shared" si="0"/>
        <v>14.217384694848953</v>
      </c>
      <c r="AZ58" s="10">
        <v>0.494146032552368</v>
      </c>
      <c r="BA58" s="10">
        <v>2.0902714013875201</v>
      </c>
      <c r="BB58" s="10">
        <v>9.9521692863942608</v>
      </c>
      <c r="BC58" s="10">
        <v>5.3100351309803902</v>
      </c>
      <c r="BD58" s="10">
        <v>5.9297523906284198E-2</v>
      </c>
      <c r="BE58" s="10">
        <v>0.25083256816650201</v>
      </c>
      <c r="BF58" s="10">
        <v>1.1942603143673101</v>
      </c>
      <c r="BH58" s="10" t="s">
        <v>196</v>
      </c>
      <c r="BI58" s="10" t="e">
        <f t="shared" si="1"/>
        <v>#VALUE!</v>
      </c>
      <c r="BJ58" s="10"/>
      <c r="BK58" s="10"/>
      <c r="BL58" s="10"/>
      <c r="BM58" s="10"/>
    </row>
    <row r="59" spans="1:65" x14ac:dyDescent="0.25">
      <c r="A59">
        <v>57</v>
      </c>
      <c r="B59">
        <v>2020</v>
      </c>
      <c r="C59" t="s">
        <v>186</v>
      </c>
      <c r="D59" t="s">
        <v>182</v>
      </c>
      <c r="E59">
        <v>40.067799999999998</v>
      </c>
      <c r="F59">
        <v>-74.923670000000001</v>
      </c>
      <c r="H59" s="1">
        <v>110029593731</v>
      </c>
      <c r="I59" s="6" t="s">
        <v>3</v>
      </c>
      <c r="J59" s="4">
        <v>0.14601318799999999</v>
      </c>
      <c r="K59" s="1">
        <v>2040202001996</v>
      </c>
      <c r="L59" t="s">
        <v>181</v>
      </c>
      <c r="O59">
        <v>0</v>
      </c>
      <c r="P59" t="s">
        <v>196</v>
      </c>
      <c r="Q59" t="s">
        <v>196</v>
      </c>
      <c r="R59" t="s">
        <v>196</v>
      </c>
      <c r="S59" t="s">
        <v>193</v>
      </c>
      <c r="T59" t="s">
        <v>196</v>
      </c>
      <c r="U59" t="s">
        <v>196</v>
      </c>
      <c r="V59">
        <v>4488276</v>
      </c>
      <c r="W59" t="s">
        <v>592</v>
      </c>
      <c r="X59">
        <v>6</v>
      </c>
      <c r="Y59">
        <v>13264.543</v>
      </c>
      <c r="Z59">
        <v>14444.403</v>
      </c>
      <c r="AA59">
        <v>14128.784</v>
      </c>
      <c r="AB59">
        <v>20285.597000000002</v>
      </c>
      <c r="AC59">
        <v>22967.688999999998</v>
      </c>
      <c r="AD59">
        <v>16060.915000000001</v>
      </c>
      <c r="AE59">
        <v>10830.947</v>
      </c>
      <c r="AF59">
        <v>7656.7070000000003</v>
      </c>
      <c r="AG59">
        <v>5863.5010000000002</v>
      </c>
      <c r="AH59">
        <v>6778.1189999999997</v>
      </c>
      <c r="AI59">
        <v>8173.8950000000004</v>
      </c>
      <c r="AJ59">
        <v>11041.55</v>
      </c>
      <c r="AK59">
        <v>15740.05</v>
      </c>
      <c r="AL59" t="s">
        <v>490</v>
      </c>
      <c r="AM59">
        <v>-1</v>
      </c>
      <c r="AN59">
        <v>14336.188264058699</v>
      </c>
      <c r="AO59" t="s">
        <v>525</v>
      </c>
      <c r="AP59">
        <v>26618.1366007574</v>
      </c>
      <c r="AQ59" t="s">
        <v>526</v>
      </c>
      <c r="AR59">
        <v>10698.7532507585</v>
      </c>
      <c r="AS59" t="s">
        <v>218</v>
      </c>
      <c r="AT59" s="10">
        <v>146013188</v>
      </c>
      <c r="AU59" s="10">
        <v>4.5021825397226298E-3</v>
      </c>
      <c r="AV59" s="10">
        <v>5.4854774468264299E-3</v>
      </c>
      <c r="AW59" s="10">
        <v>1.36476825455946E-2</v>
      </c>
      <c r="AX59" s="10">
        <v>1.0184937956350599E-2</v>
      </c>
      <c r="AY59" s="10">
        <f t="shared" si="0"/>
        <v>6.4988964502831425E-4</v>
      </c>
      <c r="AZ59" s="10">
        <v>1.50072751324088E-4</v>
      </c>
      <c r="BA59" s="10">
        <v>1.8284924822754801E-4</v>
      </c>
      <c r="BB59" s="10">
        <v>4.54922751519821E-4</v>
      </c>
      <c r="BC59" s="10">
        <v>3.3949793187835499E-4</v>
      </c>
      <c r="BD59" s="10">
        <v>1.8008730158890501E-5</v>
      </c>
      <c r="BE59" s="10">
        <v>2.1941909787305698E-5</v>
      </c>
      <c r="BF59" s="10">
        <v>5.45907301823785E-5</v>
      </c>
      <c r="BH59" s="10">
        <v>0.96095323760030604</v>
      </c>
      <c r="BI59" s="10">
        <f t="shared" si="1"/>
        <v>2.1085149249245252E-5</v>
      </c>
      <c r="BJ59" s="10"/>
      <c r="BK59" s="10"/>
      <c r="BL59" s="10"/>
      <c r="BM59" s="10"/>
    </row>
    <row r="60" spans="1:65" x14ac:dyDescent="0.25">
      <c r="A60">
        <v>58</v>
      </c>
      <c r="B60">
        <v>2017</v>
      </c>
      <c r="C60" t="s">
        <v>186</v>
      </c>
      <c r="D60" t="s">
        <v>176</v>
      </c>
      <c r="E60">
        <v>37.083666999999998</v>
      </c>
      <c r="F60">
        <v>-94.550888999999998</v>
      </c>
      <c r="H60" s="1">
        <v>110000614791</v>
      </c>
      <c r="I60" s="6" t="s">
        <v>190</v>
      </c>
      <c r="J60" s="4">
        <v>0.13468049200000001</v>
      </c>
      <c r="K60" s="1">
        <v>11070207001158</v>
      </c>
      <c r="L60" t="s">
        <v>175</v>
      </c>
      <c r="O60">
        <v>0</v>
      </c>
      <c r="P60" t="s">
        <v>196</v>
      </c>
      <c r="Q60" t="s">
        <v>196</v>
      </c>
      <c r="R60" t="s">
        <v>196</v>
      </c>
      <c r="S60" t="s">
        <v>193</v>
      </c>
      <c r="T60" t="s">
        <v>196</v>
      </c>
      <c r="U60" t="s">
        <v>196</v>
      </c>
      <c r="V60">
        <v>7591149</v>
      </c>
      <c r="W60" t="s">
        <v>623</v>
      </c>
      <c r="X60">
        <v>1</v>
      </c>
      <c r="Y60">
        <v>0.20599999999999999</v>
      </c>
      <c r="Z60">
        <v>0.20699999999999999</v>
      </c>
      <c r="AA60">
        <v>0.95799999999999996</v>
      </c>
      <c r="AB60">
        <v>0.32400000000000001</v>
      </c>
      <c r="AC60">
        <v>0.53500000000000003</v>
      </c>
      <c r="AD60">
        <v>0.33</v>
      </c>
      <c r="AE60">
        <v>0.24</v>
      </c>
      <c r="AF60">
        <v>6.8000000000000005E-2</v>
      </c>
      <c r="AG60">
        <v>3.3000000000000002E-2</v>
      </c>
      <c r="AH60">
        <v>5.2999999999999999E-2</v>
      </c>
      <c r="AI60">
        <v>6.6000000000000003E-2</v>
      </c>
      <c r="AJ60">
        <v>0.28199999999999997</v>
      </c>
      <c r="AK60">
        <v>1.2669999999999999</v>
      </c>
      <c r="AL60" t="s">
        <v>490</v>
      </c>
      <c r="AM60">
        <v>-1</v>
      </c>
      <c r="AN60">
        <v>8.0684596577017098E-2</v>
      </c>
      <c r="AO60" t="s">
        <v>525</v>
      </c>
      <c r="AP60">
        <v>0.14151346172854801</v>
      </c>
      <c r="AQ60" t="s">
        <v>526</v>
      </c>
      <c r="AR60">
        <v>3.9346188824427697E-2</v>
      </c>
      <c r="AS60" t="s">
        <v>218</v>
      </c>
      <c r="AT60" s="10">
        <v>134680492</v>
      </c>
      <c r="AU60" s="10">
        <v>267.39961761165102</v>
      </c>
      <c r="AV60" s="10">
        <v>951.71505491360597</v>
      </c>
      <c r="AW60" s="10">
        <v>3422.9615630875301</v>
      </c>
      <c r="AX60" s="10">
        <v>1669.2218553939399</v>
      </c>
      <c r="AY60" s="10">
        <f t="shared" si="0"/>
        <v>162.99816967083476</v>
      </c>
      <c r="AZ60" s="10">
        <v>8.9133205870550203</v>
      </c>
      <c r="BA60" s="10">
        <v>31.723835163786902</v>
      </c>
      <c r="BB60" s="10">
        <v>114.098718769584</v>
      </c>
      <c r="BC60" s="10">
        <v>55.6407285131313</v>
      </c>
      <c r="BD60" s="10">
        <v>1.0695984704465999</v>
      </c>
      <c r="BE60" s="10">
        <v>3.8068602196544301</v>
      </c>
      <c r="BF60" s="10">
        <v>13.6918462523501</v>
      </c>
      <c r="BH60" s="10">
        <v>2.13024284044512E-5</v>
      </c>
      <c r="BI60" s="10">
        <f t="shared" si="1"/>
        <v>8.1095367274941859E-5</v>
      </c>
      <c r="BJ60" s="10"/>
      <c r="BK60" s="10"/>
      <c r="BL60" s="10"/>
      <c r="BM60" s="10"/>
    </row>
    <row r="61" spans="1:65" x14ac:dyDescent="0.25">
      <c r="A61">
        <v>59</v>
      </c>
      <c r="B61">
        <v>2020</v>
      </c>
      <c r="C61" t="s">
        <v>186</v>
      </c>
      <c r="D61" t="s">
        <v>624</v>
      </c>
      <c r="E61">
        <v>29.75487</v>
      </c>
      <c r="F61">
        <v>-95.103269999999995</v>
      </c>
      <c r="G61" t="s">
        <v>112</v>
      </c>
      <c r="H61" s="1">
        <v>110000460983</v>
      </c>
      <c r="I61" s="6" t="s">
        <v>187</v>
      </c>
      <c r="J61" s="4">
        <v>0.107596372</v>
      </c>
      <c r="K61" s="1">
        <v>12040104000012</v>
      </c>
      <c r="L61" t="s">
        <v>111</v>
      </c>
      <c r="O61">
        <v>0</v>
      </c>
      <c r="P61" t="s">
        <v>196</v>
      </c>
      <c r="Q61" t="s">
        <v>196</v>
      </c>
      <c r="R61" t="s">
        <v>196</v>
      </c>
      <c r="S61" t="s">
        <v>193</v>
      </c>
      <c r="T61" t="s">
        <v>196</v>
      </c>
      <c r="U61" t="s">
        <v>196</v>
      </c>
      <c r="V61">
        <v>1439361</v>
      </c>
      <c r="W61" t="s">
        <v>94</v>
      </c>
      <c r="X61">
        <v>2</v>
      </c>
      <c r="Y61">
        <v>50.506</v>
      </c>
      <c r="Z61">
        <v>116.425</v>
      </c>
      <c r="AA61">
        <v>105.94199999999999</v>
      </c>
      <c r="AB61">
        <v>73.683999999999997</v>
      </c>
      <c r="AC61">
        <v>50.481999999999999</v>
      </c>
      <c r="AD61">
        <v>42.142000000000003</v>
      </c>
      <c r="AE61">
        <v>44.851999999999997</v>
      </c>
      <c r="AF61">
        <v>15.054</v>
      </c>
      <c r="AG61">
        <v>11.167999999999999</v>
      </c>
      <c r="AH61">
        <v>10.17</v>
      </c>
      <c r="AI61">
        <v>15.053000000000001</v>
      </c>
      <c r="AJ61">
        <v>41.162999999999997</v>
      </c>
      <c r="AK61">
        <v>93.537000000000006</v>
      </c>
      <c r="AL61" t="s">
        <v>491</v>
      </c>
      <c r="AM61">
        <v>-1</v>
      </c>
      <c r="AN61">
        <v>24.8655256723716</v>
      </c>
      <c r="AO61" t="s">
        <v>525</v>
      </c>
      <c r="AP61">
        <v>50.489349291623299</v>
      </c>
      <c r="AQ61" t="s">
        <v>526</v>
      </c>
      <c r="AR61">
        <v>14.8359612979033</v>
      </c>
      <c r="AS61" t="s">
        <v>218</v>
      </c>
      <c r="AT61" s="10">
        <v>107596372</v>
      </c>
      <c r="AU61" s="10">
        <v>0.87132055890389304</v>
      </c>
      <c r="AV61" s="10">
        <v>2.13107068143283</v>
      </c>
      <c r="AW61" s="10">
        <v>7.2524031196553302</v>
      </c>
      <c r="AX61" s="10">
        <v>4.3271303980334297</v>
      </c>
      <c r="AY61" s="10">
        <f t="shared" si="0"/>
        <v>0.3453525295073967</v>
      </c>
      <c r="AZ61" s="10">
        <v>2.90440186301298E-2</v>
      </c>
      <c r="BA61" s="10">
        <v>7.1035689381094502E-2</v>
      </c>
      <c r="BB61" s="10">
        <v>0.24174677065517799</v>
      </c>
      <c r="BC61" s="10">
        <v>0.144237679934448</v>
      </c>
      <c r="BD61" s="10">
        <v>3.4852822356155702E-3</v>
      </c>
      <c r="BE61" s="10">
        <v>8.5242827257313407E-3</v>
      </c>
      <c r="BF61" s="10">
        <v>2.9009612478621299E-2</v>
      </c>
      <c r="BH61" s="10" t="s">
        <v>196</v>
      </c>
      <c r="BI61" s="10" t="e">
        <f t="shared" si="1"/>
        <v>#VALUE!</v>
      </c>
      <c r="BJ61" s="10"/>
      <c r="BK61" s="10"/>
      <c r="BL61" s="10"/>
      <c r="BM61" s="10"/>
    </row>
    <row r="62" spans="1:65" x14ac:dyDescent="0.25">
      <c r="A62">
        <v>60</v>
      </c>
      <c r="B62">
        <v>2018</v>
      </c>
      <c r="C62" t="s">
        <v>186</v>
      </c>
      <c r="D62" t="s">
        <v>26</v>
      </c>
      <c r="E62">
        <v>40.390543999999998</v>
      </c>
      <c r="F62">
        <v>-86.936173999999994</v>
      </c>
      <c r="G62" t="s">
        <v>27</v>
      </c>
      <c r="H62" s="1">
        <v>110000404296</v>
      </c>
      <c r="I62" s="6" t="s">
        <v>189</v>
      </c>
      <c r="J62" s="4">
        <v>0.10430839</v>
      </c>
      <c r="K62" s="1">
        <v>5120108000208</v>
      </c>
      <c r="L62" t="s">
        <v>25</v>
      </c>
      <c r="M62" t="s">
        <v>625</v>
      </c>
      <c r="O62">
        <v>0</v>
      </c>
      <c r="P62" t="s">
        <v>196</v>
      </c>
      <c r="Q62" t="s">
        <v>196</v>
      </c>
      <c r="R62" t="s">
        <v>196</v>
      </c>
      <c r="S62" t="s">
        <v>193</v>
      </c>
      <c r="T62" t="s">
        <v>196</v>
      </c>
      <c r="U62" t="s">
        <v>196</v>
      </c>
      <c r="V62">
        <v>10213673</v>
      </c>
      <c r="W62" t="s">
        <v>196</v>
      </c>
      <c r="X62">
        <v>6</v>
      </c>
      <c r="Y62">
        <v>1.6E-2</v>
      </c>
      <c r="Z62">
        <v>3.2000000000000001E-2</v>
      </c>
      <c r="AA62">
        <v>0.14799999999999999</v>
      </c>
      <c r="AB62">
        <v>7.5999999999999998E-2</v>
      </c>
      <c r="AC62">
        <v>3.7999999999999999E-2</v>
      </c>
      <c r="AD62">
        <v>2.7E-2</v>
      </c>
      <c r="AE62">
        <v>1.9E-2</v>
      </c>
      <c r="AF62">
        <v>1.4E-2</v>
      </c>
      <c r="AG62">
        <v>8.9999999999999993E-3</v>
      </c>
      <c r="AH62">
        <v>1.2999999999999999E-2</v>
      </c>
      <c r="AI62">
        <v>1.9E-2</v>
      </c>
      <c r="AJ62">
        <v>7.0000000000000001E-3</v>
      </c>
      <c r="AK62">
        <v>2.1999999999999999E-2</v>
      </c>
      <c r="AL62" t="s">
        <v>493</v>
      </c>
      <c r="AM62">
        <v>-1</v>
      </c>
      <c r="AN62">
        <v>1.71149144254279E-2</v>
      </c>
      <c r="AO62" t="s">
        <v>525</v>
      </c>
      <c r="AP62">
        <v>1.7421156991090699E-2</v>
      </c>
      <c r="AQ62" t="s">
        <v>526</v>
      </c>
      <c r="AR62">
        <v>7.9028280433962195E-3</v>
      </c>
      <c r="AS62" t="s">
        <v>218</v>
      </c>
      <c r="AT62" s="10">
        <v>104308390</v>
      </c>
      <c r="AU62" s="10">
        <v>2666.383219375</v>
      </c>
      <c r="AV62" s="10">
        <v>5987.4547972527698</v>
      </c>
      <c r="AW62" s="10">
        <v>13198.8687375227</v>
      </c>
      <c r="AX62" s="10">
        <v>6094.59021571428</v>
      </c>
      <c r="AY62" s="10">
        <f t="shared" si="0"/>
        <v>628.51755892965241</v>
      </c>
      <c r="AZ62" s="10">
        <v>88.879440645833299</v>
      </c>
      <c r="BA62" s="10">
        <v>199.58182657509201</v>
      </c>
      <c r="BB62" s="10">
        <v>439.962291250757</v>
      </c>
      <c r="BC62" s="10">
        <v>203.15300719047599</v>
      </c>
      <c r="BD62" s="10">
        <v>10.6655328775</v>
      </c>
      <c r="BE62" s="10">
        <v>23.949819189011102</v>
      </c>
      <c r="BF62" s="10">
        <v>52.795474950090799</v>
      </c>
      <c r="BH62" s="10" t="s">
        <v>196</v>
      </c>
      <c r="BI62" s="10" t="e">
        <f t="shared" si="1"/>
        <v>#VALUE!</v>
      </c>
      <c r="BJ62" s="10"/>
      <c r="BK62" s="10"/>
      <c r="BL62" s="10"/>
      <c r="BM62" s="10"/>
    </row>
    <row r="63" spans="1:65" x14ac:dyDescent="0.25">
      <c r="A63">
        <v>61</v>
      </c>
      <c r="B63">
        <v>2015</v>
      </c>
      <c r="C63" t="s">
        <v>186</v>
      </c>
      <c r="D63" t="s">
        <v>80</v>
      </c>
      <c r="E63">
        <v>39.852224</v>
      </c>
      <c r="F63">
        <v>-75.234432999999996</v>
      </c>
      <c r="H63" s="1">
        <v>110000760310</v>
      </c>
      <c r="I63" s="6" t="s">
        <v>191</v>
      </c>
      <c r="J63" s="4">
        <v>9.4792410999999993E-2</v>
      </c>
      <c r="K63" s="1">
        <v>2040202000029</v>
      </c>
      <c r="L63" t="s">
        <v>79</v>
      </c>
      <c r="M63" t="s">
        <v>626</v>
      </c>
      <c r="O63">
        <v>0</v>
      </c>
      <c r="P63" t="s">
        <v>196</v>
      </c>
      <c r="Q63" t="s">
        <v>196</v>
      </c>
      <c r="R63" t="s">
        <v>196</v>
      </c>
      <c r="S63" t="s">
        <v>193</v>
      </c>
      <c r="T63" t="s">
        <v>196</v>
      </c>
      <c r="U63" t="s">
        <v>196</v>
      </c>
      <c r="V63">
        <v>4496220</v>
      </c>
      <c r="W63" t="s">
        <v>592</v>
      </c>
      <c r="X63">
        <v>7</v>
      </c>
      <c r="Y63">
        <v>17384.913</v>
      </c>
      <c r="Z63">
        <v>18382.189999999999</v>
      </c>
      <c r="AA63">
        <v>16657.550999999999</v>
      </c>
      <c r="AB63">
        <v>23769.042000000001</v>
      </c>
      <c r="AC63">
        <v>28803.096000000001</v>
      </c>
      <c r="AD63">
        <v>19549.539000000001</v>
      </c>
      <c r="AE63">
        <v>13385.406999999999</v>
      </c>
      <c r="AF63">
        <v>9602.973</v>
      </c>
      <c r="AG63">
        <v>7382.6229999999996</v>
      </c>
      <c r="AH63">
        <v>8431.3150000000005</v>
      </c>
      <c r="AI63">
        <v>9685.7849999999999</v>
      </c>
      <c r="AJ63">
        <v>13300.305</v>
      </c>
      <c r="AK63">
        <v>20808.865000000002</v>
      </c>
      <c r="AL63" t="s">
        <v>490</v>
      </c>
      <c r="AM63">
        <v>-1</v>
      </c>
      <c r="AN63">
        <v>18050.422982885098</v>
      </c>
      <c r="AO63" t="s">
        <v>525</v>
      </c>
      <c r="AP63">
        <v>34507.978357190899</v>
      </c>
      <c r="AQ63" t="s">
        <v>526</v>
      </c>
      <c r="AR63">
        <v>13580.2807688587</v>
      </c>
      <c r="AS63" t="s">
        <v>218</v>
      </c>
      <c r="AT63" s="10">
        <v>94792411</v>
      </c>
      <c r="AU63" s="10">
        <v>2.2301000930519499E-3</v>
      </c>
      <c r="AV63" s="10">
        <v>2.74697086044296E-3</v>
      </c>
      <c r="AW63" s="10">
        <v>6.9801510449895099E-3</v>
      </c>
      <c r="AX63" s="10">
        <v>5.2515340549016297E-3</v>
      </c>
      <c r="AY63" s="10">
        <f t="shared" si="0"/>
        <v>3.3238814499950045E-4</v>
      </c>
      <c r="AZ63" s="10">
        <v>7.4336669768398201E-5</v>
      </c>
      <c r="BA63" s="10">
        <v>9.1565695348098797E-5</v>
      </c>
      <c r="BB63" s="10">
        <v>2.3267170149965E-4</v>
      </c>
      <c r="BC63" s="10">
        <v>1.7505113516338801E-4</v>
      </c>
      <c r="BD63" s="10">
        <v>8.9204003722077901E-6</v>
      </c>
      <c r="BE63" s="10">
        <v>1.0987883441771899E-5</v>
      </c>
      <c r="BF63" s="10">
        <v>2.7920604179958E-5</v>
      </c>
      <c r="BH63" s="10" t="s">
        <v>196</v>
      </c>
      <c r="BI63" s="10" t="e">
        <f t="shared" si="1"/>
        <v>#VALUE!</v>
      </c>
      <c r="BJ63" s="10"/>
      <c r="BK63" s="10"/>
      <c r="BL63" s="10"/>
      <c r="BM63" s="10"/>
    </row>
    <row r="64" spans="1:65" x14ac:dyDescent="0.25">
      <c r="A64">
        <v>62</v>
      </c>
      <c r="B64">
        <v>2015</v>
      </c>
      <c r="C64" t="s">
        <v>186</v>
      </c>
      <c r="D64" t="s">
        <v>133</v>
      </c>
      <c r="E64">
        <v>38.439749999999997</v>
      </c>
      <c r="F64">
        <v>-81.845930999999993</v>
      </c>
      <c r="H64" s="1">
        <v>110022421002</v>
      </c>
      <c r="I64" s="6" t="s">
        <v>191</v>
      </c>
      <c r="J64" s="4">
        <v>8.5099480000000005E-2</v>
      </c>
      <c r="K64" s="1">
        <v>5050008000042</v>
      </c>
      <c r="L64" t="s">
        <v>132</v>
      </c>
      <c r="O64">
        <v>0</v>
      </c>
      <c r="P64" t="s">
        <v>196</v>
      </c>
      <c r="Q64" t="s">
        <v>196</v>
      </c>
      <c r="R64" t="s">
        <v>196</v>
      </c>
      <c r="S64" t="s">
        <v>193</v>
      </c>
      <c r="T64" t="s">
        <v>196</v>
      </c>
      <c r="U64" t="s">
        <v>196</v>
      </c>
      <c r="V64">
        <v>19315452</v>
      </c>
      <c r="W64" t="s">
        <v>584</v>
      </c>
      <c r="X64">
        <v>6</v>
      </c>
      <c r="Y64">
        <v>17373.147000000001</v>
      </c>
      <c r="Z64">
        <v>23585.831999999999</v>
      </c>
      <c r="AA64">
        <v>27750.272000000001</v>
      </c>
      <c r="AB64">
        <v>32714.937000000002</v>
      </c>
      <c r="AC64">
        <v>24164.993999999999</v>
      </c>
      <c r="AD64">
        <v>21387.552</v>
      </c>
      <c r="AE64">
        <v>13391.76</v>
      </c>
      <c r="AF64">
        <v>8119.97</v>
      </c>
      <c r="AG64">
        <v>7673.1390000000001</v>
      </c>
      <c r="AH64">
        <v>6381.3469999999998</v>
      </c>
      <c r="AI64">
        <v>8516.7309999999998</v>
      </c>
      <c r="AJ64">
        <v>13312.981</v>
      </c>
      <c r="AK64">
        <v>18944.298999999999</v>
      </c>
      <c r="AL64" t="s">
        <v>491</v>
      </c>
      <c r="AM64">
        <v>-1</v>
      </c>
      <c r="AN64">
        <v>15602.315403422999</v>
      </c>
      <c r="AO64" t="s">
        <v>525</v>
      </c>
      <c r="AP64">
        <v>31740.214094238301</v>
      </c>
      <c r="AQ64" t="s">
        <v>526</v>
      </c>
      <c r="AR64">
        <v>11678.3723313185</v>
      </c>
      <c r="AS64" t="s">
        <v>218</v>
      </c>
      <c r="AT64" s="10">
        <v>85099480</v>
      </c>
      <c r="AU64" s="10">
        <v>2.0034186851696999E-3</v>
      </c>
      <c r="AV64" s="10">
        <v>2.6811249523187E-3</v>
      </c>
      <c r="AW64" s="10">
        <v>7.2869298550949802E-3</v>
      </c>
      <c r="AX64" s="10">
        <v>5.4542853287871699E-3</v>
      </c>
      <c r="AY64" s="10">
        <f t="shared" si="0"/>
        <v>3.469966597664276E-4</v>
      </c>
      <c r="AZ64" s="10">
        <v>6.6780622838990094E-5</v>
      </c>
      <c r="BA64" s="10">
        <v>8.9370831743956606E-5</v>
      </c>
      <c r="BB64" s="10">
        <v>2.4289766183649899E-4</v>
      </c>
      <c r="BC64" s="10">
        <v>1.81809510959572E-4</v>
      </c>
      <c r="BD64" s="10">
        <v>8.0136747406788193E-6</v>
      </c>
      <c r="BE64" s="10">
        <v>1.07244998092748E-5</v>
      </c>
      <c r="BF64" s="10">
        <v>2.9147719420379901E-5</v>
      </c>
      <c r="BH64" s="10">
        <v>0.21904822341201599</v>
      </c>
      <c r="BI64" s="10">
        <f t="shared" si="1"/>
        <v>2.3491826302041491E-6</v>
      </c>
      <c r="BJ64" s="10"/>
      <c r="BK64" s="10"/>
      <c r="BL64" s="10"/>
      <c r="BM64" s="10"/>
    </row>
    <row r="65" spans="1:65" x14ac:dyDescent="0.25">
      <c r="A65">
        <v>63</v>
      </c>
      <c r="B65">
        <v>2017</v>
      </c>
      <c r="C65" t="s">
        <v>186</v>
      </c>
      <c r="D65" t="s">
        <v>627</v>
      </c>
      <c r="E65">
        <v>34.632592000000002</v>
      </c>
      <c r="F65">
        <v>-84.927667999999997</v>
      </c>
      <c r="G65" t="s">
        <v>145</v>
      </c>
      <c r="H65" s="1">
        <v>110000611703</v>
      </c>
      <c r="I65" s="6" t="s">
        <v>188</v>
      </c>
      <c r="J65" s="4">
        <v>5.0612245E-2</v>
      </c>
      <c r="K65" s="1">
        <v>3150101000005</v>
      </c>
      <c r="L65" t="s">
        <v>628</v>
      </c>
      <c r="M65" t="s">
        <v>144</v>
      </c>
      <c r="O65">
        <v>0</v>
      </c>
      <c r="P65" t="s">
        <v>196</v>
      </c>
      <c r="Q65" t="s">
        <v>196</v>
      </c>
      <c r="R65" t="s">
        <v>196</v>
      </c>
      <c r="S65" t="s">
        <v>193</v>
      </c>
      <c r="T65" t="s">
        <v>196</v>
      </c>
      <c r="U65" t="s">
        <v>196</v>
      </c>
      <c r="V65">
        <v>12194234</v>
      </c>
      <c r="W65" t="s">
        <v>629</v>
      </c>
      <c r="X65">
        <v>5</v>
      </c>
      <c r="Y65">
        <v>1294.376</v>
      </c>
      <c r="Z65">
        <v>2361.127</v>
      </c>
      <c r="AA65">
        <v>2418.605</v>
      </c>
      <c r="AB65">
        <v>2712.165</v>
      </c>
      <c r="AC65">
        <v>1865.79</v>
      </c>
      <c r="AD65">
        <v>1150.354</v>
      </c>
      <c r="AE65">
        <v>773.274</v>
      </c>
      <c r="AF65">
        <v>589.33399999999995</v>
      </c>
      <c r="AG65">
        <v>376.93799999999999</v>
      </c>
      <c r="AH65">
        <v>432.709</v>
      </c>
      <c r="AI65">
        <v>541.70100000000002</v>
      </c>
      <c r="AJ65">
        <v>914.39099999999996</v>
      </c>
      <c r="AK65">
        <v>1459.885</v>
      </c>
      <c r="AL65" t="s">
        <v>490</v>
      </c>
      <c r="AM65">
        <v>-1</v>
      </c>
      <c r="AN65">
        <v>921.60880195598997</v>
      </c>
      <c r="AO65" t="s">
        <v>525</v>
      </c>
      <c r="AP65">
        <v>1845.30550453919</v>
      </c>
      <c r="AQ65" t="s">
        <v>526</v>
      </c>
      <c r="AR65">
        <v>624.44136501023104</v>
      </c>
      <c r="AS65" t="s">
        <v>218</v>
      </c>
      <c r="AT65" s="10">
        <v>50612245</v>
      </c>
      <c r="AU65" s="10">
        <v>1.5992577276618201E-2</v>
      </c>
      <c r="AV65" s="10">
        <v>2.74275695138291E-2</v>
      </c>
      <c r="AW65" s="10">
        <v>8.1052037606718697E-2</v>
      </c>
      <c r="AX65" s="10">
        <v>5.4917276063968103E-2</v>
      </c>
      <c r="AY65" s="10">
        <f t="shared" si="0"/>
        <v>3.8596208384151761E-3</v>
      </c>
      <c r="AZ65" s="10">
        <v>5.3308590922060797E-4</v>
      </c>
      <c r="BA65" s="10">
        <v>9.1425231712763595E-4</v>
      </c>
      <c r="BB65" s="10">
        <v>2.7017345868906202E-3</v>
      </c>
      <c r="BC65" s="10">
        <v>1.83057586879894E-3</v>
      </c>
      <c r="BD65" s="10">
        <v>6.3970309106472906E-5</v>
      </c>
      <c r="BE65" s="10">
        <v>1.09710278055316E-4</v>
      </c>
      <c r="BF65" s="10">
        <v>3.2420815042687499E-4</v>
      </c>
      <c r="BH65" s="10">
        <v>0.34087257518151998</v>
      </c>
      <c r="BI65" s="10">
        <f t="shared" si="1"/>
        <v>3.7397225004596167E-5</v>
      </c>
      <c r="BJ65" s="10"/>
      <c r="BK65" s="10"/>
      <c r="BL65" s="10"/>
      <c r="BM65" s="10"/>
    </row>
    <row r="66" spans="1:65" x14ac:dyDescent="0.25">
      <c r="A66">
        <v>64</v>
      </c>
      <c r="B66">
        <v>2018</v>
      </c>
      <c r="C66" t="s">
        <v>186</v>
      </c>
      <c r="D66" t="s">
        <v>630</v>
      </c>
      <c r="E66">
        <v>35.215859999999999</v>
      </c>
      <c r="F66">
        <v>-80.856890000000007</v>
      </c>
      <c r="H66" s="1">
        <v>110070048003</v>
      </c>
      <c r="I66" s="6" t="s">
        <v>191</v>
      </c>
      <c r="J66" s="4">
        <v>4.7309471999999998E-2</v>
      </c>
      <c r="K66" s="1">
        <v>3050103000259</v>
      </c>
      <c r="L66" t="s">
        <v>177</v>
      </c>
      <c r="O66">
        <v>0</v>
      </c>
      <c r="P66" t="s">
        <v>196</v>
      </c>
      <c r="Q66" t="s">
        <v>196</v>
      </c>
      <c r="R66" t="s">
        <v>196</v>
      </c>
      <c r="S66" t="s">
        <v>193</v>
      </c>
      <c r="T66" t="s">
        <v>196</v>
      </c>
      <c r="U66" t="s">
        <v>196</v>
      </c>
      <c r="V66">
        <v>9731482</v>
      </c>
      <c r="W66" t="s">
        <v>178</v>
      </c>
      <c r="X66">
        <v>3</v>
      </c>
      <c r="Y66">
        <v>48.747999999999998</v>
      </c>
      <c r="Z66">
        <v>67.153000000000006</v>
      </c>
      <c r="AA66">
        <v>69.977999999999994</v>
      </c>
      <c r="AB66">
        <v>73.759</v>
      </c>
      <c r="AC66">
        <v>47.277999999999999</v>
      </c>
      <c r="AD66">
        <v>47.110999999999997</v>
      </c>
      <c r="AE66">
        <v>40.591999999999999</v>
      </c>
      <c r="AF66">
        <v>37.951000000000001</v>
      </c>
      <c r="AG66">
        <v>34.976999999999997</v>
      </c>
      <c r="AH66">
        <v>38.31</v>
      </c>
      <c r="AI66">
        <v>43.231999999999999</v>
      </c>
      <c r="AJ66">
        <v>41.351999999999997</v>
      </c>
      <c r="AK66">
        <v>44.371000000000002</v>
      </c>
      <c r="AL66" t="s">
        <v>490</v>
      </c>
      <c r="AM66">
        <v>-1</v>
      </c>
      <c r="AN66">
        <v>85.518337408313002</v>
      </c>
      <c r="AO66" t="s">
        <v>525</v>
      </c>
      <c r="AP66">
        <v>100.57095710805</v>
      </c>
      <c r="AQ66" t="s">
        <v>526</v>
      </c>
      <c r="AR66">
        <v>53.291843554193498</v>
      </c>
      <c r="AS66" t="s">
        <v>218</v>
      </c>
      <c r="AT66" s="10">
        <v>47309472</v>
      </c>
      <c r="AU66" s="10">
        <v>0.396930623779437</v>
      </c>
      <c r="AV66" s="10">
        <v>0.47040888702264699</v>
      </c>
      <c r="AW66" s="10">
        <v>0.88774320505332305</v>
      </c>
      <c r="AX66" s="10">
        <v>0.55320850982073899</v>
      </c>
      <c r="AY66" s="10">
        <f t="shared" si="0"/>
        <v>4.2273485954920142E-2</v>
      </c>
      <c r="AZ66" s="10">
        <v>1.32310207926479E-2</v>
      </c>
      <c r="BA66" s="10">
        <v>1.56802962340882E-2</v>
      </c>
      <c r="BB66" s="10">
        <v>2.9591440168444099E-2</v>
      </c>
      <c r="BC66" s="10">
        <v>1.8440283660691299E-2</v>
      </c>
      <c r="BD66" s="10">
        <v>1.5877224951177499E-3</v>
      </c>
      <c r="BE66" s="10">
        <v>1.88163554809059E-3</v>
      </c>
      <c r="BF66" s="10">
        <v>3.55097282021329E-3</v>
      </c>
      <c r="BH66" s="10">
        <v>9.1918028004942497E-3</v>
      </c>
      <c r="BI66" s="10">
        <f t="shared" si="1"/>
        <v>1.7295622900448618E-5</v>
      </c>
      <c r="BJ66" s="10"/>
      <c r="BK66" s="10"/>
      <c r="BL66" s="10"/>
      <c r="BM66" s="10"/>
    </row>
    <row r="67" spans="1:65" x14ac:dyDescent="0.25">
      <c r="A67">
        <v>65</v>
      </c>
      <c r="B67">
        <v>2019</v>
      </c>
      <c r="C67" t="s">
        <v>186</v>
      </c>
      <c r="D67" t="s">
        <v>13</v>
      </c>
      <c r="E67">
        <v>33.017359999999996</v>
      </c>
      <c r="F67">
        <v>-115.50923</v>
      </c>
      <c r="H67" s="1">
        <v>110030476465</v>
      </c>
      <c r="I67" s="6" t="s">
        <v>3</v>
      </c>
      <c r="J67" s="4">
        <v>4.1860208000000003E-2</v>
      </c>
      <c r="K67" s="1">
        <v>18100204010970</v>
      </c>
      <c r="L67" t="s">
        <v>12</v>
      </c>
      <c r="O67">
        <v>0</v>
      </c>
      <c r="P67" t="s">
        <v>196</v>
      </c>
      <c r="Q67" t="s">
        <v>196</v>
      </c>
      <c r="R67" t="s">
        <v>196</v>
      </c>
      <c r="S67" t="s">
        <v>193</v>
      </c>
      <c r="T67" t="s">
        <v>196</v>
      </c>
      <c r="U67" t="s">
        <v>196</v>
      </c>
      <c r="V67">
        <v>22602625</v>
      </c>
      <c r="W67" t="s">
        <v>631</v>
      </c>
      <c r="X67">
        <v>4</v>
      </c>
      <c r="Y67">
        <v>6.5209999999999999</v>
      </c>
      <c r="Z67">
        <v>35.688000000000002</v>
      </c>
      <c r="AA67">
        <v>9.4269999999999996</v>
      </c>
      <c r="AB67">
        <v>3.8690000000000002</v>
      </c>
      <c r="AC67">
        <v>0.222</v>
      </c>
      <c r="AD67">
        <v>4.2999999999999997E-2</v>
      </c>
      <c r="AE67">
        <v>0</v>
      </c>
      <c r="AF67">
        <v>0.52600000000000002</v>
      </c>
      <c r="AG67">
        <v>16.175000000000001</v>
      </c>
      <c r="AH67">
        <v>4.3140000000000001</v>
      </c>
      <c r="AI67">
        <v>1.0680000000000001</v>
      </c>
      <c r="AJ67">
        <v>1.841</v>
      </c>
      <c r="AK67">
        <v>34.165999999999997</v>
      </c>
      <c r="AL67" t="s">
        <v>488</v>
      </c>
      <c r="AM67">
        <v>-1</v>
      </c>
      <c r="AN67">
        <v>0.105134474327628</v>
      </c>
      <c r="AO67" t="s">
        <v>525</v>
      </c>
      <c r="AP67">
        <v>0.84371871246604402</v>
      </c>
      <c r="AQ67" t="s">
        <v>526</v>
      </c>
      <c r="AR67">
        <v>5.1749193581299799E-2</v>
      </c>
      <c r="AS67" t="s">
        <v>218</v>
      </c>
      <c r="AT67" s="10">
        <v>41860208</v>
      </c>
      <c r="AU67" s="10">
        <v>2.6254907333231099</v>
      </c>
      <c r="AV67" s="10">
        <v>49.613938130694997</v>
      </c>
      <c r="AW67" s="10">
        <v>808.90551336294902</v>
      </c>
      <c r="AX67" s="10">
        <v>398.15872260465102</v>
      </c>
      <c r="AY67" s="10">
        <f t="shared" ref="AY67:AY91" si="3">AW67/21</f>
        <v>38.519310160140428</v>
      </c>
      <c r="AZ67" s="10">
        <v>8.7516357777437007E-2</v>
      </c>
      <c r="BA67" s="10">
        <v>1.65379793768983</v>
      </c>
      <c r="BB67" s="10">
        <v>26.963517112098302</v>
      </c>
      <c r="BC67" s="10">
        <v>13.271957420154999</v>
      </c>
      <c r="BD67" s="10">
        <v>1.05019629332924E-2</v>
      </c>
      <c r="BE67" s="10">
        <v>0.19845575252278</v>
      </c>
      <c r="BF67" s="10">
        <v>3.2356220534518001</v>
      </c>
      <c r="BH67" s="10" t="s">
        <v>196</v>
      </c>
      <c r="BI67" s="10" t="e">
        <f t="shared" ref="BI67:BI91" si="4">BE67*BH67</f>
        <v>#VALUE!</v>
      </c>
      <c r="BJ67" s="10"/>
      <c r="BK67" s="10"/>
      <c r="BL67" s="10"/>
      <c r="BM67" s="10"/>
    </row>
    <row r="68" spans="1:65" x14ac:dyDescent="0.25">
      <c r="A68">
        <v>66</v>
      </c>
      <c r="B68">
        <v>2020</v>
      </c>
      <c r="C68" t="s">
        <v>186</v>
      </c>
      <c r="D68" t="s">
        <v>632</v>
      </c>
      <c r="E68">
        <v>39.599829999999997</v>
      </c>
      <c r="F68">
        <v>-79.97148</v>
      </c>
      <c r="G68" t="s">
        <v>129</v>
      </c>
      <c r="H68" s="1">
        <v>110000572782</v>
      </c>
      <c r="I68" s="6" t="s">
        <v>187</v>
      </c>
      <c r="J68" s="4">
        <v>3.9989585000000001E-2</v>
      </c>
      <c r="K68" s="1">
        <v>5020003000026</v>
      </c>
      <c r="L68" t="s">
        <v>200</v>
      </c>
      <c r="M68" t="s">
        <v>128</v>
      </c>
      <c r="O68">
        <v>0</v>
      </c>
      <c r="P68" t="s">
        <v>196</v>
      </c>
      <c r="Q68" t="s">
        <v>196</v>
      </c>
      <c r="R68" t="s">
        <v>196</v>
      </c>
      <c r="S68" t="s">
        <v>193</v>
      </c>
      <c r="T68" t="s">
        <v>196</v>
      </c>
      <c r="U68" t="s">
        <v>196</v>
      </c>
      <c r="V68">
        <v>3768880</v>
      </c>
      <c r="W68" t="s">
        <v>633</v>
      </c>
      <c r="X68">
        <v>6</v>
      </c>
      <c r="Y68">
        <v>4606.0519999999997</v>
      </c>
      <c r="Z68">
        <v>6257.9560000000001</v>
      </c>
      <c r="AA68">
        <v>6876.3159999999998</v>
      </c>
      <c r="AB68">
        <v>7878.76</v>
      </c>
      <c r="AC68">
        <v>5441.3850000000002</v>
      </c>
      <c r="AD68">
        <v>4874.3990000000003</v>
      </c>
      <c r="AE68">
        <v>2986.1860000000001</v>
      </c>
      <c r="AF68">
        <v>2090.748</v>
      </c>
      <c r="AG68">
        <v>1826.7750000000001</v>
      </c>
      <c r="AH68">
        <v>1510.348</v>
      </c>
      <c r="AI68">
        <v>2062.931</v>
      </c>
      <c r="AJ68">
        <v>3961.8209999999999</v>
      </c>
      <c r="AK68">
        <v>6751.0559999999996</v>
      </c>
      <c r="AL68" t="s">
        <v>491</v>
      </c>
      <c r="AM68">
        <v>-1</v>
      </c>
      <c r="AN68">
        <v>3692.7823960880201</v>
      </c>
      <c r="AO68" t="s">
        <v>525</v>
      </c>
      <c r="AP68">
        <v>7434.9923709589502</v>
      </c>
      <c r="AQ68" t="s">
        <v>526</v>
      </c>
      <c r="AR68">
        <v>2627.3478619129601</v>
      </c>
      <c r="AS68" t="s">
        <v>218</v>
      </c>
      <c r="AT68" s="10">
        <v>39989585</v>
      </c>
      <c r="AU68" s="10">
        <v>3.5509239289960299E-3</v>
      </c>
      <c r="AV68" s="10">
        <v>5.3785643622445596E-3</v>
      </c>
      <c r="AW68" s="10">
        <v>1.52205140323078E-2</v>
      </c>
      <c r="AX68" s="10">
        <v>1.0829120351733499E-2</v>
      </c>
      <c r="AY68" s="10">
        <f t="shared" si="3"/>
        <v>7.2478638249084764E-4</v>
      </c>
      <c r="AZ68" s="10">
        <v>1.18364130966534E-4</v>
      </c>
      <c r="BA68" s="10">
        <v>1.7928547874148499E-4</v>
      </c>
      <c r="BB68" s="10">
        <v>5.0735046774359304E-4</v>
      </c>
      <c r="BC68" s="10">
        <v>3.60970678391117E-4</v>
      </c>
      <c r="BD68" s="10">
        <v>1.42036957159841E-5</v>
      </c>
      <c r="BE68" s="10">
        <v>2.1514257448978302E-5</v>
      </c>
      <c r="BF68" s="10">
        <v>6.0882056129231103E-5</v>
      </c>
      <c r="BH68" s="10">
        <v>0.570033647198946</v>
      </c>
      <c r="BI68" s="10">
        <f t="shared" si="4"/>
        <v>1.2263850640418194E-5</v>
      </c>
      <c r="BJ68" s="10"/>
      <c r="BK68" s="10"/>
      <c r="BL68" s="10"/>
      <c r="BM68" s="10"/>
    </row>
    <row r="69" spans="1:65" x14ac:dyDescent="0.25">
      <c r="A69">
        <v>67</v>
      </c>
      <c r="B69">
        <v>2017</v>
      </c>
      <c r="C69" t="s">
        <v>186</v>
      </c>
      <c r="D69" t="s">
        <v>150</v>
      </c>
      <c r="E69">
        <v>36.982500000000002</v>
      </c>
      <c r="F69">
        <v>-86.78</v>
      </c>
      <c r="H69" s="1">
        <v>110046299778</v>
      </c>
      <c r="I69" s="6" t="s">
        <v>190</v>
      </c>
      <c r="J69" s="4">
        <v>2.7251999999999998E-2</v>
      </c>
      <c r="K69" s="1">
        <v>5110003000734</v>
      </c>
      <c r="L69" t="s">
        <v>634</v>
      </c>
      <c r="M69" t="s">
        <v>149</v>
      </c>
      <c r="O69">
        <v>0</v>
      </c>
      <c r="P69" t="s">
        <v>196</v>
      </c>
      <c r="Q69" t="s">
        <v>196</v>
      </c>
      <c r="R69" t="s">
        <v>196</v>
      </c>
      <c r="S69" t="s">
        <v>193</v>
      </c>
      <c r="T69" t="s">
        <v>196</v>
      </c>
      <c r="U69" t="s">
        <v>196</v>
      </c>
      <c r="V69">
        <v>11631003</v>
      </c>
      <c r="W69" t="s">
        <v>196</v>
      </c>
      <c r="X69">
        <v>1</v>
      </c>
      <c r="Y69">
        <v>1.94</v>
      </c>
      <c r="Z69">
        <v>7.1520000000000001</v>
      </c>
      <c r="AA69">
        <v>15.999000000000001</v>
      </c>
      <c r="AB69">
        <v>5.38</v>
      </c>
      <c r="AC69">
        <v>2.7410000000000001</v>
      </c>
      <c r="AD69">
        <v>2.262</v>
      </c>
      <c r="AE69">
        <v>1.391</v>
      </c>
      <c r="AF69">
        <v>0.879</v>
      </c>
      <c r="AG69">
        <v>0.54600000000000004</v>
      </c>
      <c r="AH69">
        <v>0.71699999999999997</v>
      </c>
      <c r="AI69">
        <v>0.78400000000000003</v>
      </c>
      <c r="AJ69">
        <v>1.484</v>
      </c>
      <c r="AK69">
        <v>3.3290000000000002</v>
      </c>
      <c r="AL69" t="s">
        <v>490</v>
      </c>
      <c r="AM69">
        <v>-1</v>
      </c>
      <c r="AN69">
        <v>1.3349633251833699</v>
      </c>
      <c r="AO69" t="s">
        <v>525</v>
      </c>
      <c r="AP69">
        <v>2.0316965191660299</v>
      </c>
      <c r="AQ69" t="s">
        <v>526</v>
      </c>
      <c r="AR69">
        <v>0.71858618741894598</v>
      </c>
      <c r="AS69" t="s">
        <v>218</v>
      </c>
      <c r="AT69" s="10">
        <v>27252000</v>
      </c>
      <c r="AU69" s="10">
        <v>5.7453958762886597</v>
      </c>
      <c r="AV69" s="10">
        <v>13.4134206279914</v>
      </c>
      <c r="AW69" s="10">
        <v>37.924469572515797</v>
      </c>
      <c r="AX69" s="10">
        <v>20.414043956044001</v>
      </c>
      <c r="AY69" s="10">
        <f t="shared" si="3"/>
        <v>1.8059271225007523</v>
      </c>
      <c r="AZ69" s="10">
        <v>0.19151319587628901</v>
      </c>
      <c r="BA69" s="10">
        <v>0.44711402093304597</v>
      </c>
      <c r="BB69" s="10">
        <v>1.2641489857505299</v>
      </c>
      <c r="BC69" s="10">
        <v>0.68046813186813204</v>
      </c>
      <c r="BD69" s="10">
        <v>2.2981583505154599E-2</v>
      </c>
      <c r="BE69" s="10">
        <v>5.3653682511965603E-2</v>
      </c>
      <c r="BF69" s="10">
        <v>0.15169787829006301</v>
      </c>
      <c r="BH69" s="10">
        <v>1.9068175608068401E-4</v>
      </c>
      <c r="BI69" s="10">
        <f t="shared" si="4"/>
        <v>1.0230778401577087E-5</v>
      </c>
      <c r="BJ69" s="10"/>
      <c r="BK69" s="10"/>
      <c r="BL69" s="10"/>
      <c r="BM69" s="10"/>
    </row>
    <row r="70" spans="1:65" x14ac:dyDescent="0.25">
      <c r="A70">
        <v>68</v>
      </c>
      <c r="B70">
        <v>2016</v>
      </c>
      <c r="C70" t="s">
        <v>186</v>
      </c>
      <c r="D70" t="s">
        <v>635</v>
      </c>
      <c r="E70">
        <v>43.197788000000003</v>
      </c>
      <c r="F70">
        <v>-77.629835999999997</v>
      </c>
      <c r="G70" t="s">
        <v>85</v>
      </c>
      <c r="H70" s="1">
        <v>110000492173</v>
      </c>
      <c r="I70" s="6" t="s">
        <v>190</v>
      </c>
      <c r="J70" s="4">
        <v>2.716116E-2</v>
      </c>
      <c r="K70" s="1">
        <v>4130003000001</v>
      </c>
      <c r="L70" t="s">
        <v>636</v>
      </c>
      <c r="M70" t="s">
        <v>637</v>
      </c>
      <c r="N70" t="s">
        <v>84</v>
      </c>
      <c r="O70">
        <v>0</v>
      </c>
      <c r="P70" t="s">
        <v>196</v>
      </c>
      <c r="Q70" t="s">
        <v>196</v>
      </c>
      <c r="R70" t="s">
        <v>196</v>
      </c>
      <c r="S70" t="s">
        <v>193</v>
      </c>
      <c r="T70" t="s">
        <v>196</v>
      </c>
      <c r="U70" t="s">
        <v>196</v>
      </c>
      <c r="V70">
        <v>15537885</v>
      </c>
      <c r="W70" t="s">
        <v>86</v>
      </c>
      <c r="X70">
        <v>6</v>
      </c>
      <c r="Y70">
        <v>2849.3359999999998</v>
      </c>
      <c r="Z70">
        <v>3191.011</v>
      </c>
      <c r="AA70">
        <v>3187.893</v>
      </c>
      <c r="AB70">
        <v>4589.3549999999996</v>
      </c>
      <c r="AC70">
        <v>6183.4589999999998</v>
      </c>
      <c r="AD70">
        <v>3145.433</v>
      </c>
      <c r="AE70">
        <v>1876.903</v>
      </c>
      <c r="AF70">
        <v>1359.654</v>
      </c>
      <c r="AG70">
        <v>895.72699999999998</v>
      </c>
      <c r="AH70">
        <v>935.66899999999998</v>
      </c>
      <c r="AI70">
        <v>1241.8679999999999</v>
      </c>
      <c r="AJ70">
        <v>2061.5369999999998</v>
      </c>
      <c r="AK70">
        <v>3501.337</v>
      </c>
      <c r="AL70" t="s">
        <v>490</v>
      </c>
      <c r="AM70">
        <v>-1</v>
      </c>
      <c r="AN70">
        <v>2190.04156479218</v>
      </c>
      <c r="AO70" t="s">
        <v>525</v>
      </c>
      <c r="AP70">
        <v>4395.0255747226802</v>
      </c>
      <c r="AQ70" t="s">
        <v>526</v>
      </c>
      <c r="AR70">
        <v>1529.7810966401</v>
      </c>
      <c r="AS70" t="s">
        <v>218</v>
      </c>
      <c r="AT70" s="10">
        <v>27161160</v>
      </c>
      <c r="AU70" s="10">
        <v>3.8987730615132801E-3</v>
      </c>
      <c r="AV70" s="10">
        <v>6.1799776902808704E-3</v>
      </c>
      <c r="AW70" s="10">
        <v>1.77549324276884E-2</v>
      </c>
      <c r="AX70" s="10">
        <v>1.24021207801038E-2</v>
      </c>
      <c r="AY70" s="10">
        <f t="shared" si="3"/>
        <v>8.454729727470666E-4</v>
      </c>
      <c r="AZ70" s="10">
        <v>1.2995910205044299E-4</v>
      </c>
      <c r="BA70" s="10">
        <v>2.0599925634269599E-4</v>
      </c>
      <c r="BB70" s="10">
        <v>5.9183108092294697E-4</v>
      </c>
      <c r="BC70" s="10">
        <v>4.1340402600345902E-4</v>
      </c>
      <c r="BD70" s="10">
        <v>1.5595092246053101E-5</v>
      </c>
      <c r="BE70" s="10">
        <v>2.4719910761123499E-5</v>
      </c>
      <c r="BF70" s="10">
        <v>7.1019729710753606E-5</v>
      </c>
      <c r="BH70" s="10" t="s">
        <v>196</v>
      </c>
      <c r="BI70" s="10" t="e">
        <f t="shared" si="4"/>
        <v>#VALUE!</v>
      </c>
      <c r="BJ70" s="10"/>
      <c r="BK70" s="10"/>
      <c r="BL70" s="10"/>
      <c r="BM70" s="10"/>
    </row>
    <row r="71" spans="1:65" x14ac:dyDescent="0.25">
      <c r="A71">
        <v>69</v>
      </c>
      <c r="B71">
        <v>2015</v>
      </c>
      <c r="C71" t="s">
        <v>186</v>
      </c>
      <c r="D71" t="s">
        <v>17</v>
      </c>
      <c r="E71">
        <v>39.585099999999997</v>
      </c>
      <c r="F71">
        <v>-75.649199999999993</v>
      </c>
      <c r="H71" s="1">
        <v>110000338536</v>
      </c>
      <c r="I71" s="6" t="s">
        <v>188</v>
      </c>
      <c r="J71" s="4">
        <v>2.3129251999999999E-2</v>
      </c>
      <c r="K71" s="1">
        <v>2040205000476</v>
      </c>
      <c r="L71" t="s">
        <v>16</v>
      </c>
      <c r="O71">
        <v>0</v>
      </c>
      <c r="P71" t="s">
        <v>196</v>
      </c>
      <c r="Q71" t="s">
        <v>196</v>
      </c>
      <c r="R71" t="s">
        <v>196</v>
      </c>
      <c r="S71" t="s">
        <v>193</v>
      </c>
      <c r="T71" t="s">
        <v>196</v>
      </c>
      <c r="U71" t="s">
        <v>196</v>
      </c>
      <c r="V71">
        <v>4652220</v>
      </c>
      <c r="W71" t="s">
        <v>196</v>
      </c>
      <c r="X71">
        <v>1</v>
      </c>
      <c r="Y71">
        <v>0.89300000000000002</v>
      </c>
      <c r="Z71">
        <v>4.7039999999999997</v>
      </c>
      <c r="AA71">
        <v>11.516999999999999</v>
      </c>
      <c r="AB71">
        <v>8.3320000000000007</v>
      </c>
      <c r="AC71">
        <v>1.4259999999999999</v>
      </c>
      <c r="AD71">
        <v>1.2470000000000001</v>
      </c>
      <c r="AE71">
        <v>1.0209999999999999</v>
      </c>
      <c r="AF71">
        <v>0.72</v>
      </c>
      <c r="AG71">
        <v>0.54</v>
      </c>
      <c r="AH71">
        <v>0.875</v>
      </c>
      <c r="AI71">
        <v>1.002</v>
      </c>
      <c r="AJ71">
        <v>0.876</v>
      </c>
      <c r="AK71">
        <v>1.4650000000000001</v>
      </c>
      <c r="AL71" t="s">
        <v>490</v>
      </c>
      <c r="AM71">
        <v>-1</v>
      </c>
      <c r="AN71">
        <v>1.3202933985330101</v>
      </c>
      <c r="AO71" t="s">
        <v>525</v>
      </c>
      <c r="AP71">
        <v>1.3987468798588401</v>
      </c>
      <c r="AQ71" t="s">
        <v>526</v>
      </c>
      <c r="AR71">
        <v>0.71041326391757897</v>
      </c>
      <c r="AS71" t="s">
        <v>218</v>
      </c>
      <c r="AT71" s="10">
        <v>23129252</v>
      </c>
      <c r="AU71" s="10">
        <v>10.5933528197088</v>
      </c>
      <c r="AV71" s="10">
        <v>16.535695151887801</v>
      </c>
      <c r="AW71" s="10">
        <v>32.557460811547301</v>
      </c>
      <c r="AX71" s="10">
        <v>17.518266792592598</v>
      </c>
      <c r="AY71" s="10">
        <f t="shared" si="3"/>
        <v>1.5503552767403477</v>
      </c>
      <c r="AZ71" s="10">
        <v>0.35311176065696098</v>
      </c>
      <c r="BA71" s="10">
        <v>0.55118983839626001</v>
      </c>
      <c r="BB71" s="10">
        <v>1.08524869371824</v>
      </c>
      <c r="BC71" s="10">
        <v>0.58394222641975302</v>
      </c>
      <c r="BD71" s="10">
        <v>4.2373411278835399E-2</v>
      </c>
      <c r="BE71" s="10">
        <v>6.6142780607551202E-2</v>
      </c>
      <c r="BF71" s="10">
        <v>0.130229843246189</v>
      </c>
      <c r="BH71" s="10" t="s">
        <v>196</v>
      </c>
      <c r="BI71" s="10" t="e">
        <f t="shared" si="4"/>
        <v>#VALUE!</v>
      </c>
      <c r="BJ71" s="10"/>
      <c r="BK71" s="10"/>
      <c r="BL71" s="10"/>
      <c r="BM71" s="10"/>
    </row>
    <row r="72" spans="1:65" x14ac:dyDescent="0.25">
      <c r="A72">
        <v>70</v>
      </c>
      <c r="B72">
        <v>2016</v>
      </c>
      <c r="C72" t="s">
        <v>186</v>
      </c>
      <c r="D72" t="s">
        <v>148</v>
      </c>
      <c r="E72">
        <v>43.603453999999999</v>
      </c>
      <c r="F72">
        <v>-116.202736</v>
      </c>
      <c r="H72" s="1">
        <v>110042072351</v>
      </c>
      <c r="I72" s="6" t="s">
        <v>191</v>
      </c>
      <c r="J72" s="4">
        <v>2.1655421000000001E-2</v>
      </c>
      <c r="K72" s="1">
        <v>17050114000332</v>
      </c>
      <c r="L72" t="s">
        <v>638</v>
      </c>
      <c r="M72" t="s">
        <v>639</v>
      </c>
      <c r="N72" t="s">
        <v>147</v>
      </c>
      <c r="O72">
        <v>0</v>
      </c>
      <c r="P72" t="s">
        <v>196</v>
      </c>
      <c r="Q72" t="s">
        <v>196</v>
      </c>
      <c r="R72" t="s">
        <v>196</v>
      </c>
      <c r="S72" t="s">
        <v>193</v>
      </c>
      <c r="T72" t="s">
        <v>196</v>
      </c>
      <c r="U72" t="s">
        <v>196</v>
      </c>
      <c r="V72">
        <v>23398863</v>
      </c>
      <c r="W72" t="s">
        <v>640</v>
      </c>
      <c r="X72">
        <v>6</v>
      </c>
      <c r="Y72">
        <v>1476.521</v>
      </c>
      <c r="Z72">
        <v>580.654</v>
      </c>
      <c r="AA72">
        <v>1563.6610000000001</v>
      </c>
      <c r="AB72">
        <v>2311.152</v>
      </c>
      <c r="AC72">
        <v>3689.9029999999998</v>
      </c>
      <c r="AD72">
        <v>4044.2930000000001</v>
      </c>
      <c r="AE72">
        <v>2754.1109999999999</v>
      </c>
      <c r="AF72">
        <v>1532.386</v>
      </c>
      <c r="AG72">
        <v>1086.7850000000001</v>
      </c>
      <c r="AH72">
        <v>677.60699999999997</v>
      </c>
      <c r="AI72">
        <v>354.81799999999998</v>
      </c>
      <c r="AJ72">
        <v>168.52199999999999</v>
      </c>
      <c r="AK72">
        <v>176.67599999999999</v>
      </c>
      <c r="AL72" t="s">
        <v>493</v>
      </c>
      <c r="AM72">
        <v>-1</v>
      </c>
      <c r="AN72">
        <v>412.03422982885098</v>
      </c>
      <c r="AO72" t="s">
        <v>525</v>
      </c>
      <c r="AP72">
        <v>1239.7506650978501</v>
      </c>
      <c r="AQ72" t="s">
        <v>526</v>
      </c>
      <c r="AR72">
        <v>271.37632591871198</v>
      </c>
      <c r="AS72" t="s">
        <v>218</v>
      </c>
      <c r="AT72" s="10">
        <v>21655421</v>
      </c>
      <c r="AU72" s="10">
        <v>5.9986056337837396E-3</v>
      </c>
      <c r="AV72" s="10">
        <v>1.74675615102741E-2</v>
      </c>
      <c r="AW72" s="10">
        <v>7.97984898892274E-2</v>
      </c>
      <c r="AX72" s="10">
        <v>5.25573348820925E-2</v>
      </c>
      <c r="AY72" s="10">
        <f t="shared" si="3"/>
        <v>3.7999280899632094E-3</v>
      </c>
      <c r="AZ72" s="10">
        <v>1.99953521126125E-4</v>
      </c>
      <c r="BA72" s="10">
        <v>5.8225205034247E-4</v>
      </c>
      <c r="BB72" s="10">
        <v>2.6599496629742501E-3</v>
      </c>
      <c r="BC72" s="10">
        <v>1.7519111627364199E-3</v>
      </c>
      <c r="BD72" s="10">
        <v>2.3994422535135001E-5</v>
      </c>
      <c r="BE72" s="10">
        <v>6.9870246041096399E-5</v>
      </c>
      <c r="BF72" s="10">
        <v>3.1919395955691001E-4</v>
      </c>
      <c r="BH72" s="10">
        <v>0.18833675689355001</v>
      </c>
      <c r="BI72" s="10">
        <f t="shared" si="4"/>
        <v>1.3159135542734497E-5</v>
      </c>
      <c r="BJ72" s="10"/>
      <c r="BK72" s="10"/>
      <c r="BL72" s="10"/>
      <c r="BM72" s="10"/>
    </row>
    <row r="73" spans="1:65" x14ac:dyDescent="0.25">
      <c r="A73">
        <v>71</v>
      </c>
      <c r="B73">
        <v>2018</v>
      </c>
      <c r="C73" t="s">
        <v>186</v>
      </c>
      <c r="D73" t="s">
        <v>83</v>
      </c>
      <c r="E73">
        <v>36.122100000000003</v>
      </c>
      <c r="F73">
        <v>-115.17139</v>
      </c>
      <c r="H73" s="1">
        <v>110004306938</v>
      </c>
      <c r="I73" s="6" t="s">
        <v>190</v>
      </c>
      <c r="J73" s="4">
        <v>1.7715294999999999E-2</v>
      </c>
      <c r="K73" s="1">
        <v>15010015000432</v>
      </c>
      <c r="L73" t="s">
        <v>82</v>
      </c>
      <c r="O73">
        <v>0</v>
      </c>
      <c r="P73" t="s">
        <v>196</v>
      </c>
      <c r="Q73" t="s">
        <v>196</v>
      </c>
      <c r="R73" t="s">
        <v>196</v>
      </c>
      <c r="S73" t="s">
        <v>193</v>
      </c>
      <c r="T73" t="s">
        <v>196</v>
      </c>
      <c r="U73" t="s">
        <v>196</v>
      </c>
      <c r="V73">
        <v>22069994</v>
      </c>
      <c r="W73" t="s">
        <v>641</v>
      </c>
      <c r="X73">
        <v>3</v>
      </c>
      <c r="Y73">
        <v>2.141</v>
      </c>
      <c r="Z73">
        <v>13.016</v>
      </c>
      <c r="AA73">
        <v>10.823</v>
      </c>
      <c r="AB73">
        <v>5.5810000000000004</v>
      </c>
      <c r="AC73">
        <v>1.0489999999999999</v>
      </c>
      <c r="AD73">
        <v>0.86399999999999999</v>
      </c>
      <c r="AE73">
        <v>0</v>
      </c>
      <c r="AF73">
        <v>0.72599999999999998</v>
      </c>
      <c r="AG73">
        <v>1.9790000000000001</v>
      </c>
      <c r="AH73">
        <v>1.466</v>
      </c>
      <c r="AI73">
        <v>1.2609999999999999</v>
      </c>
      <c r="AJ73">
        <v>3.1419999999999999</v>
      </c>
      <c r="AK73">
        <v>18.234000000000002</v>
      </c>
      <c r="AL73" t="s">
        <v>488</v>
      </c>
      <c r="AM73">
        <v>-1</v>
      </c>
      <c r="AN73">
        <v>1.7750611246943799</v>
      </c>
      <c r="AO73" t="s">
        <v>525</v>
      </c>
      <c r="AP73">
        <v>2.5050786911390599</v>
      </c>
      <c r="AQ73" t="s">
        <v>526</v>
      </c>
      <c r="AR73">
        <v>0.96511403431753195</v>
      </c>
      <c r="AS73" t="s">
        <v>218</v>
      </c>
      <c r="AT73" s="10">
        <v>17715295</v>
      </c>
      <c r="AU73" s="10">
        <v>3.3841922723026601</v>
      </c>
      <c r="AV73" s="10">
        <v>7.0717519025100399</v>
      </c>
      <c r="AW73" s="10">
        <v>18.355649560652299</v>
      </c>
      <c r="AX73" s="10">
        <v>9.9801042079889797</v>
      </c>
      <c r="AY73" s="10">
        <f t="shared" si="3"/>
        <v>0.87407855050725236</v>
      </c>
      <c r="AZ73" s="10">
        <v>0.112806409076755</v>
      </c>
      <c r="BA73" s="10">
        <v>0.235725063417001</v>
      </c>
      <c r="BB73" s="10">
        <v>0.61185498535507699</v>
      </c>
      <c r="BC73" s="10">
        <v>0.33267014026629899</v>
      </c>
      <c r="BD73" s="10">
        <v>1.35367690892106E-2</v>
      </c>
      <c r="BE73" s="10">
        <v>2.8287007610040198E-2</v>
      </c>
      <c r="BF73" s="10">
        <v>7.3422598242609299E-2</v>
      </c>
      <c r="BH73" s="10">
        <v>1.4883458901945499E-4</v>
      </c>
      <c r="BI73" s="10">
        <f t="shared" si="4"/>
        <v>4.2100851522305286E-6</v>
      </c>
      <c r="BJ73" s="10"/>
      <c r="BK73" s="10"/>
      <c r="BL73" s="10"/>
      <c r="BM73" s="10"/>
    </row>
    <row r="74" spans="1:65" x14ac:dyDescent="0.25">
      <c r="A74">
        <v>72</v>
      </c>
      <c r="B74">
        <v>2015</v>
      </c>
      <c r="C74" t="s">
        <v>186</v>
      </c>
      <c r="D74" t="s">
        <v>109</v>
      </c>
      <c r="E74">
        <v>29.458400000000001</v>
      </c>
      <c r="F74">
        <v>-95.330399999999997</v>
      </c>
      <c r="G74" t="s">
        <v>110</v>
      </c>
      <c r="H74" s="1">
        <v>110000599479</v>
      </c>
      <c r="I74" s="6" t="s">
        <v>187</v>
      </c>
      <c r="J74" s="4">
        <v>1.6553287999999999E-2</v>
      </c>
      <c r="K74" s="1">
        <v>12040204000953</v>
      </c>
      <c r="L74" t="s">
        <v>108</v>
      </c>
      <c r="O74">
        <v>0</v>
      </c>
      <c r="P74" t="s">
        <v>196</v>
      </c>
      <c r="Q74" t="s">
        <v>196</v>
      </c>
      <c r="R74" t="s">
        <v>196</v>
      </c>
      <c r="S74" t="s">
        <v>193</v>
      </c>
      <c r="T74" t="s">
        <v>196</v>
      </c>
      <c r="U74" t="s">
        <v>196</v>
      </c>
      <c r="V74">
        <v>1565976</v>
      </c>
      <c r="W74" t="s">
        <v>95</v>
      </c>
      <c r="X74">
        <v>3</v>
      </c>
      <c r="Y74">
        <v>30.486000000000001</v>
      </c>
      <c r="Z74">
        <v>71.031000000000006</v>
      </c>
      <c r="AA74">
        <v>67.578000000000003</v>
      </c>
      <c r="AB74">
        <v>44.274999999999999</v>
      </c>
      <c r="AC74">
        <v>28.337</v>
      </c>
      <c r="AD74">
        <v>23.667999999999999</v>
      </c>
      <c r="AE74">
        <v>25.658000000000001</v>
      </c>
      <c r="AF74">
        <v>8.4870000000000001</v>
      </c>
      <c r="AG74">
        <v>6.5289999999999999</v>
      </c>
      <c r="AH74">
        <v>6.665</v>
      </c>
      <c r="AI74">
        <v>9.0030000000000001</v>
      </c>
      <c r="AJ74">
        <v>12.872999999999999</v>
      </c>
      <c r="AK74">
        <v>51.052</v>
      </c>
      <c r="AL74" t="s">
        <v>490</v>
      </c>
      <c r="AM74">
        <v>-1</v>
      </c>
      <c r="AN74">
        <v>15.963325183374099</v>
      </c>
      <c r="AO74" t="s">
        <v>525</v>
      </c>
      <c r="AP74">
        <v>30.868277796047</v>
      </c>
      <c r="AQ74" t="s">
        <v>526</v>
      </c>
      <c r="AR74">
        <v>9.3770517458121194</v>
      </c>
      <c r="AS74" t="s">
        <v>218</v>
      </c>
      <c r="AT74" s="10">
        <v>16553288</v>
      </c>
      <c r="AU74" s="10">
        <v>0.22207881624352199</v>
      </c>
      <c r="AV74" s="10">
        <v>0.53625563788724895</v>
      </c>
      <c r="AW74" s="10">
        <v>1.76529771283313</v>
      </c>
      <c r="AX74" s="10">
        <v>1.03695738888038</v>
      </c>
      <c r="AY74" s="10">
        <f t="shared" si="3"/>
        <v>8.4061795849196666E-2</v>
      </c>
      <c r="AZ74" s="10">
        <v>7.4026272081173898E-3</v>
      </c>
      <c r="BA74" s="10">
        <v>1.7875187929575001E-2</v>
      </c>
      <c r="BB74" s="10">
        <v>5.8843257094437502E-2</v>
      </c>
      <c r="BC74" s="10">
        <v>3.4565246296012701E-2</v>
      </c>
      <c r="BD74" s="10">
        <v>8.8831526497408595E-4</v>
      </c>
      <c r="BE74" s="10">
        <v>2.14502255154899E-3</v>
      </c>
      <c r="BF74" s="10">
        <v>7.0611908513325003E-3</v>
      </c>
      <c r="BH74" s="10" t="s">
        <v>196</v>
      </c>
      <c r="BI74" s="10" t="e">
        <f t="shared" si="4"/>
        <v>#VALUE!</v>
      </c>
      <c r="BJ74" s="10"/>
      <c r="BK74" s="10"/>
      <c r="BL74" s="10"/>
      <c r="BM74" s="10"/>
    </row>
    <row r="75" spans="1:65" x14ac:dyDescent="0.25">
      <c r="A75">
        <v>73</v>
      </c>
      <c r="B75">
        <v>2019</v>
      </c>
      <c r="C75" t="s">
        <v>186</v>
      </c>
      <c r="D75" t="s">
        <v>135</v>
      </c>
      <c r="E75">
        <v>30.27083</v>
      </c>
      <c r="F75">
        <v>-92.037279999999996</v>
      </c>
      <c r="H75" s="1">
        <v>110000846602</v>
      </c>
      <c r="I75" s="6" t="s">
        <v>188</v>
      </c>
      <c r="J75" s="4">
        <v>1.0139258E-2</v>
      </c>
      <c r="K75" s="1">
        <v>8080103002791</v>
      </c>
      <c r="L75" t="s">
        <v>642</v>
      </c>
      <c r="M75" t="s">
        <v>134</v>
      </c>
      <c r="O75">
        <v>0</v>
      </c>
      <c r="P75" t="s">
        <v>196</v>
      </c>
      <c r="Q75" t="s">
        <v>196</v>
      </c>
      <c r="R75" t="s">
        <v>196</v>
      </c>
      <c r="S75" t="s">
        <v>193</v>
      </c>
      <c r="T75" t="s">
        <v>196</v>
      </c>
      <c r="U75" t="s">
        <v>196</v>
      </c>
      <c r="V75">
        <v>21898555</v>
      </c>
      <c r="W75" t="s">
        <v>643</v>
      </c>
      <c r="X75">
        <v>1</v>
      </c>
      <c r="Y75">
        <v>1.5469999999999999</v>
      </c>
      <c r="Z75">
        <v>2.6440000000000001</v>
      </c>
      <c r="AA75">
        <v>2.3959999999999999</v>
      </c>
      <c r="AB75">
        <v>1.962</v>
      </c>
      <c r="AC75">
        <v>1.956</v>
      </c>
      <c r="AD75">
        <v>1.3440000000000001</v>
      </c>
      <c r="AE75">
        <v>0.79</v>
      </c>
      <c r="AF75">
        <v>0.27200000000000002</v>
      </c>
      <c r="AG75">
        <v>0.22800000000000001</v>
      </c>
      <c r="AH75">
        <v>0.41499999999999998</v>
      </c>
      <c r="AI75">
        <v>2.1269999999999998</v>
      </c>
      <c r="AJ75">
        <v>6.57</v>
      </c>
      <c r="AK75">
        <v>2.4500000000000002</v>
      </c>
      <c r="AL75" t="s">
        <v>490</v>
      </c>
      <c r="AM75">
        <v>-1</v>
      </c>
      <c r="AN75">
        <v>0.557457212713936</v>
      </c>
      <c r="AO75" t="s">
        <v>525</v>
      </c>
      <c r="AP75">
        <v>1.1082509257739901</v>
      </c>
      <c r="AQ75" t="s">
        <v>526</v>
      </c>
      <c r="AR75">
        <v>0.290985397174571</v>
      </c>
      <c r="AS75" t="s">
        <v>218</v>
      </c>
      <c r="AT75" s="10">
        <v>10139258</v>
      </c>
      <c r="AU75" s="10">
        <v>2.6806441641887502</v>
      </c>
      <c r="AV75" s="10">
        <v>9.1488829507801999</v>
      </c>
      <c r="AW75" s="10">
        <v>34.844559549897802</v>
      </c>
      <c r="AX75" s="10">
        <v>18.188405798245601</v>
      </c>
      <c r="AY75" s="10">
        <f t="shared" si="3"/>
        <v>1.6592647404713239</v>
      </c>
      <c r="AZ75" s="10">
        <v>8.9354805472958404E-2</v>
      </c>
      <c r="BA75" s="10">
        <v>0.304962765026007</v>
      </c>
      <c r="BB75" s="10">
        <v>1.1614853183299301</v>
      </c>
      <c r="BC75" s="10">
        <v>0.60628019327485405</v>
      </c>
      <c r="BD75" s="10">
        <v>1.0722576656755E-2</v>
      </c>
      <c r="BE75" s="10">
        <v>3.65955318031208E-2</v>
      </c>
      <c r="BF75" s="10">
        <v>0.139378238199591</v>
      </c>
      <c r="BH75" s="10" t="s">
        <v>196</v>
      </c>
      <c r="BI75" s="10" t="e">
        <f t="shared" si="4"/>
        <v>#VALUE!</v>
      </c>
      <c r="BJ75" s="10"/>
      <c r="BK75" s="10"/>
      <c r="BL75" s="10"/>
      <c r="BM75" s="10"/>
    </row>
    <row r="76" spans="1:65" x14ac:dyDescent="0.25">
      <c r="A76">
        <v>74</v>
      </c>
      <c r="B76">
        <v>2016</v>
      </c>
      <c r="C76" t="s">
        <v>186</v>
      </c>
      <c r="D76" t="s">
        <v>114</v>
      </c>
      <c r="E76">
        <v>32.788812999999998</v>
      </c>
      <c r="F76">
        <v>-98.060989000000006</v>
      </c>
      <c r="H76" s="1">
        <v>110009773192</v>
      </c>
      <c r="I76" s="6" t="s">
        <v>190</v>
      </c>
      <c r="J76" s="4">
        <v>8.1632649999999994E-3</v>
      </c>
      <c r="K76" s="1">
        <v>12060201000042</v>
      </c>
      <c r="L76" t="s">
        <v>113</v>
      </c>
      <c r="O76">
        <v>0</v>
      </c>
      <c r="P76" t="s">
        <v>196</v>
      </c>
      <c r="Q76" t="s">
        <v>196</v>
      </c>
      <c r="R76" t="s">
        <v>196</v>
      </c>
      <c r="S76" t="s">
        <v>193</v>
      </c>
      <c r="T76" t="s">
        <v>196</v>
      </c>
      <c r="U76" t="s">
        <v>196</v>
      </c>
      <c r="V76">
        <v>5495958</v>
      </c>
      <c r="W76" t="s">
        <v>18</v>
      </c>
      <c r="X76">
        <v>3</v>
      </c>
      <c r="Y76">
        <v>21.422000000000001</v>
      </c>
      <c r="Z76">
        <v>12.127000000000001</v>
      </c>
      <c r="AA76">
        <v>18.152000000000001</v>
      </c>
      <c r="AB76">
        <v>17.443999999999999</v>
      </c>
      <c r="AC76">
        <v>22.684999999999999</v>
      </c>
      <c r="AD76">
        <v>35.136000000000003</v>
      </c>
      <c r="AE76">
        <v>40.250999999999998</v>
      </c>
      <c r="AF76">
        <v>13.946</v>
      </c>
      <c r="AG76">
        <v>11.641999999999999</v>
      </c>
      <c r="AH76">
        <v>11.465</v>
      </c>
      <c r="AI76">
        <v>27.702999999999999</v>
      </c>
      <c r="AJ76">
        <v>13.651999999999999</v>
      </c>
      <c r="AK76">
        <v>19.925000000000001</v>
      </c>
      <c r="AL76" t="s">
        <v>491</v>
      </c>
      <c r="AM76">
        <v>-1</v>
      </c>
      <c r="AN76">
        <v>28.031784841075801</v>
      </c>
      <c r="AO76" t="s">
        <v>525</v>
      </c>
      <c r="AP76">
        <v>36.037948555569301</v>
      </c>
      <c r="AQ76" t="s">
        <v>526</v>
      </c>
      <c r="AR76">
        <v>16.7958144127875</v>
      </c>
      <c r="AS76" t="s">
        <v>218</v>
      </c>
      <c r="AT76" s="10">
        <v>8163265</v>
      </c>
      <c r="AU76" s="10">
        <v>0.15585731420969101</v>
      </c>
      <c r="AV76" s="10">
        <v>0.22651858186135401</v>
      </c>
      <c r="AW76" s="10">
        <v>0.48602972141588502</v>
      </c>
      <c r="AX76" s="10">
        <v>0.29121459965111202</v>
      </c>
      <c r="AY76" s="10">
        <f t="shared" si="3"/>
        <v>2.3144272448375476E-2</v>
      </c>
      <c r="AZ76" s="10">
        <v>5.1952438069897003E-3</v>
      </c>
      <c r="BA76" s="10">
        <v>7.5506193953784797E-3</v>
      </c>
      <c r="BB76" s="10">
        <v>1.6200990713862801E-2</v>
      </c>
      <c r="BC76" s="10">
        <v>9.7071533217037292E-3</v>
      </c>
      <c r="BD76" s="10">
        <v>6.2342925683876401E-4</v>
      </c>
      <c r="BE76" s="10">
        <v>9.0607432744541799E-4</v>
      </c>
      <c r="BF76" s="10">
        <v>1.94411888566354E-3</v>
      </c>
      <c r="BH76" s="10">
        <v>1.95166659681895E-2</v>
      </c>
      <c r="BI76" s="10">
        <f t="shared" si="4"/>
        <v>1.768354999110418E-5</v>
      </c>
      <c r="BJ76" s="10"/>
      <c r="BK76" s="10"/>
      <c r="BL76" s="10"/>
      <c r="BM76" s="10"/>
    </row>
    <row r="77" spans="1:65" x14ac:dyDescent="0.25">
      <c r="A77">
        <v>75</v>
      </c>
      <c r="B77">
        <v>2019</v>
      </c>
      <c r="C77" t="s">
        <v>186</v>
      </c>
      <c r="D77" t="s">
        <v>644</v>
      </c>
      <c r="E77">
        <v>37.845469999999999</v>
      </c>
      <c r="F77">
        <v>-97.188820000000007</v>
      </c>
      <c r="H77" s="1">
        <v>110069343954</v>
      </c>
      <c r="I77" s="6" t="s">
        <v>531</v>
      </c>
      <c r="J77" s="4">
        <v>3.9494960000000003E-3</v>
      </c>
      <c r="K77" s="1">
        <v>11030017000357</v>
      </c>
      <c r="L77" t="s">
        <v>163</v>
      </c>
      <c r="O77">
        <v>0</v>
      </c>
      <c r="P77" t="s">
        <v>196</v>
      </c>
      <c r="Q77" t="s">
        <v>196</v>
      </c>
      <c r="R77" t="s">
        <v>196</v>
      </c>
      <c r="S77" t="s">
        <v>193</v>
      </c>
      <c r="T77" t="s">
        <v>196</v>
      </c>
      <c r="U77" t="s">
        <v>196</v>
      </c>
      <c r="V77">
        <v>20078224</v>
      </c>
      <c r="W77" t="s">
        <v>645</v>
      </c>
      <c r="X77">
        <v>2</v>
      </c>
      <c r="Y77">
        <v>1.427</v>
      </c>
      <c r="Z77">
        <v>0.58799999999999997</v>
      </c>
      <c r="AA77">
        <v>0.98499999999999999</v>
      </c>
      <c r="AB77">
        <v>1.07</v>
      </c>
      <c r="AC77">
        <v>2.73</v>
      </c>
      <c r="AD77">
        <v>4.6340000000000003</v>
      </c>
      <c r="AE77">
        <v>3.7890000000000001</v>
      </c>
      <c r="AF77">
        <v>1.355</v>
      </c>
      <c r="AG77">
        <v>0.95399999999999996</v>
      </c>
      <c r="AH77">
        <v>1.2010000000000001</v>
      </c>
      <c r="AI77">
        <v>1.6639999999999999</v>
      </c>
      <c r="AJ77">
        <v>0.94699999999999995</v>
      </c>
      <c r="AK77">
        <v>1.1259999999999999</v>
      </c>
      <c r="AL77" t="s">
        <v>483</v>
      </c>
      <c r="AM77">
        <v>-1</v>
      </c>
      <c r="AN77">
        <v>1.43765281173594</v>
      </c>
      <c r="AO77" t="s">
        <v>525</v>
      </c>
      <c r="AP77">
        <v>1.8329999961782</v>
      </c>
      <c r="AQ77" t="s">
        <v>526</v>
      </c>
      <c r="AR77">
        <v>0.77588338028577897</v>
      </c>
      <c r="AS77" t="s">
        <v>218</v>
      </c>
      <c r="AT77" s="10">
        <v>3949496</v>
      </c>
      <c r="AU77" s="10">
        <v>1.13198588927821</v>
      </c>
      <c r="AV77" s="10">
        <v>2.1546623067292301</v>
      </c>
      <c r="AW77" s="10">
        <v>5.0903216905423196</v>
      </c>
      <c r="AX77" s="10">
        <v>2.7471834421768699</v>
      </c>
      <c r="AY77" s="10">
        <f t="shared" si="3"/>
        <v>0.24239627097820571</v>
      </c>
      <c r="AZ77" s="10">
        <v>3.7732862975940203E-2</v>
      </c>
      <c r="BA77" s="10">
        <v>7.1822076890974404E-2</v>
      </c>
      <c r="BB77" s="10">
        <v>0.169677389684744</v>
      </c>
      <c r="BC77" s="10">
        <v>9.1572781405895698E-2</v>
      </c>
      <c r="BD77" s="10">
        <v>4.5279435571128198E-3</v>
      </c>
      <c r="BE77" s="10">
        <v>8.6186492269169201E-3</v>
      </c>
      <c r="BF77" s="10">
        <v>2.0361286762169299E-2</v>
      </c>
      <c r="BH77" s="10">
        <v>4.1618957012021397E-4</v>
      </c>
      <c r="BI77" s="10">
        <f t="shared" si="4"/>
        <v>3.5869919167674674E-6</v>
      </c>
      <c r="BJ77" s="10"/>
      <c r="BK77" s="10"/>
      <c r="BL77" s="10"/>
      <c r="BM77" s="10"/>
    </row>
    <row r="78" spans="1:65" x14ac:dyDescent="0.25">
      <c r="A78">
        <v>76</v>
      </c>
      <c r="B78">
        <v>2016</v>
      </c>
      <c r="C78" t="s">
        <v>186</v>
      </c>
      <c r="D78" t="s">
        <v>153</v>
      </c>
      <c r="E78">
        <v>35.327162000000001</v>
      </c>
      <c r="F78">
        <v>-94.380183000000002</v>
      </c>
      <c r="H78" s="1">
        <v>110066929033</v>
      </c>
      <c r="I78" s="6" t="s">
        <v>190</v>
      </c>
      <c r="J78" s="4">
        <v>3.391383E-3</v>
      </c>
      <c r="K78" s="1">
        <v>11110104000749</v>
      </c>
      <c r="L78" t="s">
        <v>152</v>
      </c>
      <c r="O78">
        <v>0</v>
      </c>
      <c r="P78" t="s">
        <v>196</v>
      </c>
      <c r="Q78" t="s">
        <v>196</v>
      </c>
      <c r="R78" t="s">
        <v>196</v>
      </c>
      <c r="S78" t="s">
        <v>193</v>
      </c>
      <c r="T78" t="s">
        <v>196</v>
      </c>
      <c r="U78" t="s">
        <v>196</v>
      </c>
      <c r="V78">
        <v>1543831</v>
      </c>
      <c r="W78" t="s">
        <v>196</v>
      </c>
      <c r="X78">
        <v>1</v>
      </c>
      <c r="Y78">
        <v>0.42599999999999999</v>
      </c>
      <c r="Z78">
        <v>0.51400000000000001</v>
      </c>
      <c r="AA78">
        <v>2.2490000000000001</v>
      </c>
      <c r="AB78">
        <v>0.88300000000000001</v>
      </c>
      <c r="AC78">
        <v>1.0940000000000001</v>
      </c>
      <c r="AD78">
        <v>0.68400000000000005</v>
      </c>
      <c r="AE78">
        <v>0.47699999999999998</v>
      </c>
      <c r="AF78">
        <v>0.14199999999999999</v>
      </c>
      <c r="AG78">
        <v>6.3E-2</v>
      </c>
      <c r="AH78">
        <v>0.10100000000000001</v>
      </c>
      <c r="AI78">
        <v>0.158</v>
      </c>
      <c r="AJ78">
        <v>0.11</v>
      </c>
      <c r="AK78">
        <v>2.1779999999999999</v>
      </c>
      <c r="AL78" t="s">
        <v>490</v>
      </c>
      <c r="AM78">
        <v>-1</v>
      </c>
      <c r="AN78">
        <v>0.15403422982885101</v>
      </c>
      <c r="AO78" t="s">
        <v>525</v>
      </c>
      <c r="AP78">
        <v>0.28875011234250803</v>
      </c>
      <c r="AQ78" t="s">
        <v>526</v>
      </c>
      <c r="AR78">
        <v>7.6844781144927501E-2</v>
      </c>
      <c r="AS78" t="s">
        <v>218</v>
      </c>
      <c r="AT78" s="10">
        <v>3391383</v>
      </c>
      <c r="AU78" s="10">
        <v>3.2560461197183099</v>
      </c>
      <c r="AV78" s="10">
        <v>11.7450447810639</v>
      </c>
      <c r="AW78" s="10">
        <v>44.132899456163898</v>
      </c>
      <c r="AX78" s="10">
        <v>22.0170737619048</v>
      </c>
      <c r="AY78" s="10">
        <f t="shared" si="3"/>
        <v>2.1015666407697093</v>
      </c>
      <c r="AZ78" s="10">
        <v>0.108534870657277</v>
      </c>
      <c r="BA78" s="10">
        <v>0.39150149270213103</v>
      </c>
      <c r="BB78" s="10">
        <v>1.4710966485388</v>
      </c>
      <c r="BC78" s="10">
        <v>0.73390245873015902</v>
      </c>
      <c r="BD78" s="10">
        <v>1.3024184478873199E-2</v>
      </c>
      <c r="BE78" s="10">
        <v>4.69801791242557E-2</v>
      </c>
      <c r="BF78" s="10">
        <v>0.176531597824655</v>
      </c>
      <c r="BH78" s="10" t="s">
        <v>196</v>
      </c>
      <c r="BI78" s="10" t="e">
        <f t="shared" si="4"/>
        <v>#VALUE!</v>
      </c>
      <c r="BJ78" s="10"/>
      <c r="BK78" s="10"/>
      <c r="BL78" s="10"/>
      <c r="BM78" s="10"/>
    </row>
    <row r="79" spans="1:65" x14ac:dyDescent="0.25">
      <c r="A79">
        <v>77</v>
      </c>
      <c r="B79">
        <v>2018</v>
      </c>
      <c r="C79" t="s">
        <v>186</v>
      </c>
      <c r="D79" t="s">
        <v>167</v>
      </c>
      <c r="E79">
        <v>40.52516</v>
      </c>
      <c r="F79">
        <v>-74.601039999999998</v>
      </c>
      <c r="H79" s="1">
        <v>110070217974</v>
      </c>
      <c r="I79" s="6" t="s">
        <v>189</v>
      </c>
      <c r="J79" s="4">
        <v>2.4142249999999999E-3</v>
      </c>
      <c r="K79" s="1">
        <v>2030105000369</v>
      </c>
      <c r="L79" t="s">
        <v>166</v>
      </c>
      <c r="O79">
        <v>0</v>
      </c>
      <c r="P79" t="s">
        <v>196</v>
      </c>
      <c r="Q79" t="s">
        <v>196</v>
      </c>
      <c r="R79" t="s">
        <v>196</v>
      </c>
      <c r="S79" t="s">
        <v>193</v>
      </c>
      <c r="T79" t="s">
        <v>196</v>
      </c>
      <c r="U79" t="s">
        <v>196</v>
      </c>
      <c r="V79">
        <v>9513538</v>
      </c>
      <c r="W79" t="s">
        <v>168</v>
      </c>
      <c r="X79">
        <v>2</v>
      </c>
      <c r="Y79">
        <v>20.744</v>
      </c>
      <c r="Z79">
        <v>48.494999999999997</v>
      </c>
      <c r="AA79">
        <v>85.341999999999999</v>
      </c>
      <c r="AB79">
        <v>103.205</v>
      </c>
      <c r="AC79">
        <v>32.929000000000002</v>
      </c>
      <c r="AD79">
        <v>23.582000000000001</v>
      </c>
      <c r="AE79">
        <v>16.606000000000002</v>
      </c>
      <c r="AF79">
        <v>10.096</v>
      </c>
      <c r="AG79">
        <v>8.0259999999999998</v>
      </c>
      <c r="AH79">
        <v>8.9600000000000009</v>
      </c>
      <c r="AI79">
        <v>26.742000000000001</v>
      </c>
      <c r="AJ79">
        <v>27.263000000000002</v>
      </c>
      <c r="AK79">
        <v>34.677999999999997</v>
      </c>
      <c r="AL79" t="s">
        <v>490</v>
      </c>
      <c r="AM79">
        <v>-1</v>
      </c>
      <c r="AN79">
        <v>19.623471882640601</v>
      </c>
      <c r="AO79" t="s">
        <v>525</v>
      </c>
      <c r="AP79">
        <v>28.950308767828101</v>
      </c>
      <c r="AQ79" t="s">
        <v>526</v>
      </c>
      <c r="AR79">
        <v>11.6111321232147</v>
      </c>
      <c r="AS79" t="s">
        <v>218</v>
      </c>
      <c r="AT79" s="10">
        <v>2414225</v>
      </c>
      <c r="AU79" s="10">
        <v>4.7600174749325097E-2</v>
      </c>
      <c r="AV79" s="10">
        <v>8.3392029403253895E-2</v>
      </c>
      <c r="AW79" s="10">
        <v>0.207923307941102</v>
      </c>
      <c r="AX79" s="10">
        <v>0.12302741402940399</v>
      </c>
      <c r="AY79" s="10">
        <f t="shared" si="3"/>
        <v>9.901109901957238E-3</v>
      </c>
      <c r="AZ79" s="10">
        <v>1.5866724916441699E-3</v>
      </c>
      <c r="BA79" s="10">
        <v>2.7797343134418001E-3</v>
      </c>
      <c r="BB79" s="10">
        <v>6.9307769313700796E-3</v>
      </c>
      <c r="BC79" s="10">
        <v>4.1009138009801497E-3</v>
      </c>
      <c r="BD79" s="10">
        <v>1.904006989973E-4</v>
      </c>
      <c r="BE79" s="10">
        <v>3.3356811761301602E-4</v>
      </c>
      <c r="BF79" s="10">
        <v>8.3169323176440898E-4</v>
      </c>
      <c r="BH79" s="10">
        <v>4.3965360111566501E-2</v>
      </c>
      <c r="BI79" s="10">
        <f t="shared" si="4"/>
        <v>1.4665442412593618E-5</v>
      </c>
      <c r="BJ79" s="10"/>
      <c r="BK79" s="10"/>
      <c r="BL79" s="10"/>
      <c r="BM79" s="10"/>
    </row>
    <row r="80" spans="1:65" x14ac:dyDescent="0.25">
      <c r="A80">
        <v>78</v>
      </c>
      <c r="B80">
        <v>2015</v>
      </c>
      <c r="C80" t="s">
        <v>186</v>
      </c>
      <c r="D80" t="s">
        <v>70</v>
      </c>
      <c r="E80">
        <v>35.259729999999998</v>
      </c>
      <c r="F80">
        <v>-81.000079999999997</v>
      </c>
      <c r="H80" s="1">
        <v>110004018731</v>
      </c>
      <c r="I80" s="6" t="s">
        <v>191</v>
      </c>
      <c r="J80" s="4">
        <v>2.0100169999999998E-3</v>
      </c>
      <c r="K80" s="1">
        <v>3050101002046</v>
      </c>
      <c r="L80" t="s">
        <v>646</v>
      </c>
      <c r="M80" t="s">
        <v>69</v>
      </c>
      <c r="O80">
        <v>0</v>
      </c>
      <c r="P80" t="s">
        <v>196</v>
      </c>
      <c r="Q80" t="s">
        <v>196</v>
      </c>
      <c r="R80" t="s">
        <v>196</v>
      </c>
      <c r="S80" t="s">
        <v>193</v>
      </c>
      <c r="T80" t="s">
        <v>196</v>
      </c>
      <c r="U80" t="s">
        <v>196</v>
      </c>
      <c r="V80">
        <v>9756872</v>
      </c>
      <c r="W80" t="s">
        <v>647</v>
      </c>
      <c r="X80">
        <v>6</v>
      </c>
      <c r="Y80">
        <v>2768.3119999999999</v>
      </c>
      <c r="Z80">
        <v>3785.9679999999998</v>
      </c>
      <c r="AA80">
        <v>4100.9620000000004</v>
      </c>
      <c r="AB80">
        <v>4714.8159999999998</v>
      </c>
      <c r="AC80">
        <v>3910.1060000000002</v>
      </c>
      <c r="AD80">
        <v>2854.9549999999999</v>
      </c>
      <c r="AE80">
        <v>2471.0250000000001</v>
      </c>
      <c r="AF80">
        <v>1707.202</v>
      </c>
      <c r="AG80">
        <v>2127.0639999999999</v>
      </c>
      <c r="AH80">
        <v>1352.6569999999999</v>
      </c>
      <c r="AI80">
        <v>1182.136</v>
      </c>
      <c r="AJ80">
        <v>1388.345</v>
      </c>
      <c r="AK80">
        <v>2356.4769999999999</v>
      </c>
      <c r="AL80" t="s">
        <v>492</v>
      </c>
      <c r="AM80">
        <v>-1</v>
      </c>
      <c r="AN80">
        <v>2890.3080684596598</v>
      </c>
      <c r="AO80" t="s">
        <v>525</v>
      </c>
      <c r="AP80">
        <v>5080.2844489975996</v>
      </c>
      <c r="AQ80" t="s">
        <v>526</v>
      </c>
      <c r="AR80">
        <v>2038.74250997634</v>
      </c>
      <c r="AS80" t="s">
        <v>218</v>
      </c>
      <c r="AT80" s="10">
        <v>2010017</v>
      </c>
      <c r="AU80" s="10">
        <v>2.9696687114747199E-4</v>
      </c>
      <c r="AV80" s="10">
        <v>3.9565048378277398E-4</v>
      </c>
      <c r="AW80" s="10">
        <v>9.8591018246013099E-4</v>
      </c>
      <c r="AX80" s="10">
        <v>6.9543348058091401E-4</v>
      </c>
      <c r="AY80" s="10">
        <f t="shared" si="3"/>
        <v>4.6948103926672903E-5</v>
      </c>
      <c r="AZ80" s="10">
        <v>9.8988957049157306E-6</v>
      </c>
      <c r="BA80" s="10">
        <v>1.31883494594258E-5</v>
      </c>
      <c r="BB80" s="10">
        <v>3.2863672748671001E-5</v>
      </c>
      <c r="BC80" s="10">
        <v>2.3181116019363801E-5</v>
      </c>
      <c r="BD80" s="10">
        <v>1.1878674845898899E-6</v>
      </c>
      <c r="BE80" s="10">
        <v>1.58260193513109E-6</v>
      </c>
      <c r="BF80" s="10">
        <v>3.9436407298405198E-6</v>
      </c>
      <c r="BH80" s="10">
        <v>0.52310423781178195</v>
      </c>
      <c r="BI80" s="10">
        <f t="shared" si="4"/>
        <v>8.2786577903620007E-7</v>
      </c>
      <c r="BJ80" s="10"/>
      <c r="BK80" s="10"/>
      <c r="BL80" s="10"/>
      <c r="BM80" s="10"/>
    </row>
    <row r="81" spans="1:65" x14ac:dyDescent="0.25">
      <c r="A81">
        <v>79</v>
      </c>
      <c r="B81">
        <v>2018</v>
      </c>
      <c r="C81" t="s">
        <v>186</v>
      </c>
      <c r="D81" t="s">
        <v>7</v>
      </c>
      <c r="E81">
        <v>33.892391000000003</v>
      </c>
      <c r="F81">
        <v>-118.072909</v>
      </c>
      <c r="H81" s="1">
        <v>110000781609</v>
      </c>
      <c r="I81" s="6" t="s">
        <v>673</v>
      </c>
      <c r="J81" s="4">
        <v>1.8671200000000001E-3</v>
      </c>
      <c r="K81" s="1">
        <v>18070106000652</v>
      </c>
      <c r="L81" t="s">
        <v>648</v>
      </c>
      <c r="M81" t="s">
        <v>649</v>
      </c>
      <c r="N81" t="s">
        <v>6</v>
      </c>
      <c r="O81">
        <v>0</v>
      </c>
      <c r="P81" t="s">
        <v>196</v>
      </c>
      <c r="Q81" t="s">
        <v>196</v>
      </c>
      <c r="R81" t="s">
        <v>196</v>
      </c>
      <c r="S81" t="s">
        <v>193</v>
      </c>
      <c r="T81" t="s">
        <v>196</v>
      </c>
      <c r="U81" t="s">
        <v>196</v>
      </c>
      <c r="V81">
        <v>22524963</v>
      </c>
      <c r="W81" t="s">
        <v>196</v>
      </c>
      <c r="X81">
        <v>2</v>
      </c>
      <c r="Y81">
        <v>0.55500000000000005</v>
      </c>
      <c r="Z81">
        <v>3.2869999999999999</v>
      </c>
      <c r="AA81">
        <v>2.42</v>
      </c>
      <c r="AB81">
        <v>1.41</v>
      </c>
      <c r="AC81">
        <v>0.309</v>
      </c>
      <c r="AD81">
        <v>2E-3</v>
      </c>
      <c r="AE81">
        <v>1E-3</v>
      </c>
      <c r="AF81">
        <v>0</v>
      </c>
      <c r="AG81">
        <v>0</v>
      </c>
      <c r="AH81">
        <v>3.7999999999999999E-2</v>
      </c>
      <c r="AI81">
        <v>8.7999999999999995E-2</v>
      </c>
      <c r="AJ81">
        <v>1.143</v>
      </c>
      <c r="AK81">
        <v>2.4209999999999998</v>
      </c>
      <c r="AL81" t="s">
        <v>489</v>
      </c>
      <c r="AM81">
        <v>-1</v>
      </c>
      <c r="AN81">
        <v>2.4449877750611199E-3</v>
      </c>
      <c r="AO81" t="s">
        <v>525</v>
      </c>
      <c r="AP81">
        <v>3.0666492958303398E-2</v>
      </c>
      <c r="AQ81" t="s">
        <v>526</v>
      </c>
      <c r="AR81">
        <v>1.0542340552677401E-3</v>
      </c>
      <c r="AS81" t="s">
        <v>218</v>
      </c>
      <c r="AT81" s="10">
        <v>1867120</v>
      </c>
      <c r="AU81" s="10">
        <v>1.3759496936936899</v>
      </c>
      <c r="AV81" s="10">
        <v>60.884692701532103</v>
      </c>
      <c r="AW81" s="10">
        <v>1771.06781048333</v>
      </c>
      <c r="AX81" s="10">
        <v>763.65207999999996</v>
      </c>
      <c r="AY81" s="10">
        <f t="shared" si="3"/>
        <v>84.336562403968102</v>
      </c>
      <c r="AZ81" s="10">
        <v>4.5864989789789798E-2</v>
      </c>
      <c r="BA81" s="10">
        <v>2.0294897567177399</v>
      </c>
      <c r="BB81" s="10">
        <v>59.035593682777701</v>
      </c>
      <c r="BC81" s="10">
        <v>25.455069333333299</v>
      </c>
      <c r="BD81" s="10">
        <v>5.5037987747747702E-3</v>
      </c>
      <c r="BE81" s="10">
        <v>0.24353877080612801</v>
      </c>
      <c r="BF81" s="10">
        <v>7.0842712419333198</v>
      </c>
      <c r="BH81" s="10" t="s">
        <v>196</v>
      </c>
      <c r="BI81" s="10" t="e">
        <f t="shared" si="4"/>
        <v>#VALUE!</v>
      </c>
      <c r="BJ81" s="10"/>
      <c r="BK81" s="10"/>
      <c r="BL81" s="10"/>
      <c r="BM81" s="10"/>
    </row>
    <row r="82" spans="1:65" x14ac:dyDescent="0.25">
      <c r="A82">
        <v>80</v>
      </c>
      <c r="B82">
        <v>2018</v>
      </c>
      <c r="C82" t="s">
        <v>186</v>
      </c>
      <c r="D82" t="s">
        <v>141</v>
      </c>
      <c r="E82">
        <v>39.903748999999998</v>
      </c>
      <c r="F82">
        <v>-76.605096000000003</v>
      </c>
      <c r="G82" t="s">
        <v>142</v>
      </c>
      <c r="H82" s="1">
        <v>110000333318</v>
      </c>
      <c r="I82" s="6" t="s">
        <v>190</v>
      </c>
      <c r="J82" s="4">
        <v>1.3580580000000001E-3</v>
      </c>
      <c r="K82" s="1">
        <v>2050306000429</v>
      </c>
      <c r="L82" t="s">
        <v>140</v>
      </c>
      <c r="O82">
        <v>0</v>
      </c>
      <c r="P82" t="s">
        <v>196</v>
      </c>
      <c r="Q82" t="s">
        <v>196</v>
      </c>
      <c r="R82" t="s">
        <v>196</v>
      </c>
      <c r="S82" t="s">
        <v>193</v>
      </c>
      <c r="T82" t="s">
        <v>196</v>
      </c>
      <c r="U82" t="s">
        <v>196</v>
      </c>
      <c r="V82">
        <v>4724709</v>
      </c>
      <c r="W82" t="s">
        <v>143</v>
      </c>
      <c r="X82">
        <v>1</v>
      </c>
      <c r="Y82">
        <v>6.9580000000000002</v>
      </c>
      <c r="Z82">
        <v>23.305</v>
      </c>
      <c r="AA82">
        <v>51.536000000000001</v>
      </c>
      <c r="AB82">
        <v>40.872</v>
      </c>
      <c r="AC82">
        <v>10.584</v>
      </c>
      <c r="AD82">
        <v>8.4789999999999992</v>
      </c>
      <c r="AE82">
        <v>6.4249999999999998</v>
      </c>
      <c r="AF82">
        <v>3.9260000000000002</v>
      </c>
      <c r="AG82">
        <v>3.2040000000000002</v>
      </c>
      <c r="AH82">
        <v>4.5</v>
      </c>
      <c r="AI82">
        <v>4.2510000000000003</v>
      </c>
      <c r="AJ82">
        <v>8.6920000000000002</v>
      </c>
      <c r="AK82">
        <v>11.423</v>
      </c>
      <c r="AL82" t="s">
        <v>490</v>
      </c>
      <c r="AM82">
        <v>-1</v>
      </c>
      <c r="AN82">
        <v>7.8337408312958399</v>
      </c>
      <c r="AO82" t="s">
        <v>525</v>
      </c>
      <c r="AP82">
        <v>10.2180479444071</v>
      </c>
      <c r="AQ82" t="s">
        <v>526</v>
      </c>
      <c r="AR82">
        <v>4.4877631166951897</v>
      </c>
      <c r="AS82" t="s">
        <v>218</v>
      </c>
      <c r="AT82" s="10">
        <v>1358058</v>
      </c>
      <c r="AU82" s="10">
        <v>7.9828359011210104E-2</v>
      </c>
      <c r="AV82" s="10">
        <v>0.13290777332311701</v>
      </c>
      <c r="AW82" s="10">
        <v>0.30261356597629002</v>
      </c>
      <c r="AX82" s="10">
        <v>0.17336008801498101</v>
      </c>
      <c r="AY82" s="10">
        <f t="shared" si="3"/>
        <v>1.4410169808394763E-2</v>
      </c>
      <c r="AZ82" s="10">
        <v>2.66094530037367E-3</v>
      </c>
      <c r="BA82" s="10">
        <v>4.43025911077058E-3</v>
      </c>
      <c r="BB82" s="10">
        <v>1.00871188658763E-2</v>
      </c>
      <c r="BC82" s="10">
        <v>5.7786696004993804E-3</v>
      </c>
      <c r="BD82" s="10">
        <v>3.1931343604483999E-4</v>
      </c>
      <c r="BE82" s="10">
        <v>5.3163109329246996E-4</v>
      </c>
      <c r="BF82" s="10">
        <v>1.21045426390516E-3</v>
      </c>
      <c r="BH82" s="10">
        <v>1.6656405031680201E-4</v>
      </c>
      <c r="BI82" s="10">
        <f t="shared" si="4"/>
        <v>8.8550628173143431E-8</v>
      </c>
      <c r="BJ82" s="10"/>
      <c r="BK82" s="10"/>
      <c r="BL82" s="10"/>
      <c r="BM82" s="10"/>
    </row>
    <row r="83" spans="1:65" x14ac:dyDescent="0.25">
      <c r="A83">
        <v>81</v>
      </c>
      <c r="B83">
        <v>2020</v>
      </c>
      <c r="C83" t="s">
        <v>186</v>
      </c>
      <c r="D83" t="s">
        <v>55</v>
      </c>
      <c r="E83">
        <v>29.910609999999998</v>
      </c>
      <c r="F83">
        <v>-90.085269999999994</v>
      </c>
      <c r="H83" s="1">
        <v>110070117180</v>
      </c>
      <c r="I83" s="6" t="s">
        <v>673</v>
      </c>
      <c r="J83" s="4">
        <v>8.5503200000000004E-4</v>
      </c>
      <c r="K83" s="1">
        <v>8090100000658</v>
      </c>
      <c r="L83" t="s">
        <v>54</v>
      </c>
      <c r="O83">
        <v>0</v>
      </c>
      <c r="P83" t="s">
        <v>196</v>
      </c>
      <c r="Q83" t="s">
        <v>196</v>
      </c>
      <c r="R83" t="s">
        <v>196</v>
      </c>
      <c r="S83" t="s">
        <v>193</v>
      </c>
      <c r="T83" t="s">
        <v>196</v>
      </c>
      <c r="U83" t="s">
        <v>196</v>
      </c>
      <c r="V83">
        <v>22799319</v>
      </c>
      <c r="W83" t="s">
        <v>196</v>
      </c>
      <c r="X83">
        <v>1</v>
      </c>
      <c r="Y83">
        <v>8.3000000000000004E-2</v>
      </c>
      <c r="Z83">
        <v>0.115</v>
      </c>
      <c r="AA83">
        <v>0.121</v>
      </c>
      <c r="AB83">
        <v>0.11</v>
      </c>
      <c r="AC83">
        <v>0.109</v>
      </c>
      <c r="AD83">
        <v>7.3999999999999996E-2</v>
      </c>
      <c r="AE83">
        <v>0.04</v>
      </c>
      <c r="AF83">
        <v>8.9999999999999993E-3</v>
      </c>
      <c r="AG83">
        <v>0.01</v>
      </c>
      <c r="AH83">
        <v>4.4999999999999998E-2</v>
      </c>
      <c r="AI83">
        <v>0.20899999999999999</v>
      </c>
      <c r="AJ83">
        <v>0.71199999999999997</v>
      </c>
      <c r="AK83">
        <v>0.11600000000000001</v>
      </c>
      <c r="AL83" t="s">
        <v>489</v>
      </c>
      <c r="AM83">
        <v>-1</v>
      </c>
      <c r="AN83">
        <v>2.2004889975550099E-2</v>
      </c>
      <c r="AO83" t="s">
        <v>525</v>
      </c>
      <c r="AP83">
        <v>4.3814781287314003E-2</v>
      </c>
      <c r="AQ83" t="s">
        <v>526</v>
      </c>
      <c r="AR83">
        <v>1.02510626332399E-2</v>
      </c>
      <c r="AS83" t="s">
        <v>218</v>
      </c>
      <c r="AT83" s="10">
        <v>855032</v>
      </c>
      <c r="AU83" s="10">
        <v>4.2133504578313303</v>
      </c>
      <c r="AV83" s="10">
        <v>19.514692870270299</v>
      </c>
      <c r="AW83" s="10">
        <v>83.409108947153797</v>
      </c>
      <c r="AX83" s="10">
        <v>38.856454222222197</v>
      </c>
      <c r="AY83" s="10">
        <f t="shared" si="3"/>
        <v>3.9718623308168475</v>
      </c>
      <c r="AZ83" s="10">
        <v>0.140445015261044</v>
      </c>
      <c r="BA83" s="10">
        <v>0.65048976234234401</v>
      </c>
      <c r="BB83" s="10">
        <v>2.7803036315717899</v>
      </c>
      <c r="BC83" s="10">
        <v>1.29521514074074</v>
      </c>
      <c r="BD83" s="10">
        <v>1.6853401831325301E-2</v>
      </c>
      <c r="BE83" s="10">
        <v>7.8058771481081299E-2</v>
      </c>
      <c r="BF83" s="10">
        <v>0.33363643578861502</v>
      </c>
      <c r="BH83" s="10">
        <v>1.5382429739510501E-7</v>
      </c>
      <c r="BI83" s="10">
        <f t="shared" si="4"/>
        <v>1.2007335678602392E-8</v>
      </c>
      <c r="BJ83" s="10"/>
      <c r="BK83" s="10"/>
      <c r="BL83" s="10"/>
      <c r="BM83" s="10"/>
    </row>
    <row r="84" spans="1:65" x14ac:dyDescent="0.25">
      <c r="A84">
        <v>82</v>
      </c>
      <c r="B84">
        <v>2016</v>
      </c>
      <c r="C84" t="s">
        <v>186</v>
      </c>
      <c r="D84" t="s">
        <v>170</v>
      </c>
      <c r="E84">
        <v>40.891950000000001</v>
      </c>
      <c r="F84">
        <v>-74.249369999999999</v>
      </c>
      <c r="H84" s="1">
        <v>110070213656</v>
      </c>
      <c r="I84" s="6" t="s">
        <v>190</v>
      </c>
      <c r="J84" s="4">
        <v>7.92747E-4</v>
      </c>
      <c r="K84" s="1">
        <v>2030103000043</v>
      </c>
      <c r="L84" t="s">
        <v>169</v>
      </c>
      <c r="O84">
        <v>0</v>
      </c>
      <c r="P84" t="s">
        <v>196</v>
      </c>
      <c r="Q84" t="s">
        <v>196</v>
      </c>
      <c r="R84" t="s">
        <v>196</v>
      </c>
      <c r="S84" t="s">
        <v>193</v>
      </c>
      <c r="T84" t="s">
        <v>196</v>
      </c>
      <c r="U84" t="s">
        <v>196</v>
      </c>
      <c r="V84">
        <v>6250676</v>
      </c>
      <c r="W84" t="s">
        <v>650</v>
      </c>
      <c r="X84">
        <v>6</v>
      </c>
      <c r="Y84">
        <v>1151.4639999999999</v>
      </c>
      <c r="Z84">
        <v>1300.3630000000001</v>
      </c>
      <c r="AA84">
        <v>1395.059</v>
      </c>
      <c r="AB84">
        <v>1988.38</v>
      </c>
      <c r="AC84">
        <v>2107.3449999999998</v>
      </c>
      <c r="AD84">
        <v>1463.354</v>
      </c>
      <c r="AE84">
        <v>922.63800000000003</v>
      </c>
      <c r="AF84">
        <v>653.11500000000001</v>
      </c>
      <c r="AG84">
        <v>477.28300000000002</v>
      </c>
      <c r="AH84">
        <v>618.17499999999995</v>
      </c>
      <c r="AI84">
        <v>605.50699999999995</v>
      </c>
      <c r="AJ84">
        <v>942.02800000000002</v>
      </c>
      <c r="AK84">
        <v>1366.002</v>
      </c>
      <c r="AL84" t="s">
        <v>490</v>
      </c>
      <c r="AM84">
        <v>-1</v>
      </c>
      <c r="AN84">
        <v>1166.9511002444999</v>
      </c>
      <c r="AO84" t="s">
        <v>525</v>
      </c>
      <c r="AP84">
        <v>1998.06759152218</v>
      </c>
      <c r="AQ84" t="s">
        <v>526</v>
      </c>
      <c r="AR84">
        <v>797.27091511341496</v>
      </c>
      <c r="AS84" t="s">
        <v>218</v>
      </c>
      <c r="AT84" s="10">
        <v>792747</v>
      </c>
      <c r="AU84" s="10">
        <v>2.815837255876E-4</v>
      </c>
      <c r="AV84" s="10">
        <v>3.9675684814849703E-4</v>
      </c>
      <c r="AW84" s="10">
        <v>9.94325749218167E-4</v>
      </c>
      <c r="AX84" s="10">
        <v>6.7933180733443295E-4</v>
      </c>
      <c r="AY84" s="10">
        <f t="shared" si="3"/>
        <v>4.7348845200865094E-5</v>
      </c>
      <c r="AZ84" s="10">
        <v>9.3861241862533298E-6</v>
      </c>
      <c r="BA84" s="10">
        <v>1.32252282716166E-5</v>
      </c>
      <c r="BB84" s="10">
        <v>3.3144191640605599E-5</v>
      </c>
      <c r="BC84" s="10">
        <v>2.2644393577814401E-5</v>
      </c>
      <c r="BD84" s="10">
        <v>1.1263349023504001E-6</v>
      </c>
      <c r="BE84" s="10">
        <v>1.58702739259399E-6</v>
      </c>
      <c r="BF84" s="10">
        <v>3.9773029968726704E-6</v>
      </c>
      <c r="BH84" s="10">
        <v>1</v>
      </c>
      <c r="BI84" s="10">
        <f t="shared" si="4"/>
        <v>1.58702739259399E-6</v>
      </c>
      <c r="BJ84" s="10"/>
      <c r="BK84" s="10"/>
      <c r="BL84" s="10"/>
      <c r="BM84" s="10"/>
    </row>
    <row r="85" spans="1:65" x14ac:dyDescent="0.25">
      <c r="A85">
        <v>83</v>
      </c>
      <c r="B85">
        <v>2018</v>
      </c>
      <c r="C85" t="s">
        <v>186</v>
      </c>
      <c r="D85" t="s">
        <v>172</v>
      </c>
      <c r="E85">
        <v>39.368808999999999</v>
      </c>
      <c r="F85">
        <v>-120.898977</v>
      </c>
      <c r="H85" s="1">
        <v>110066354359</v>
      </c>
      <c r="I85" s="6" t="s">
        <v>190</v>
      </c>
      <c r="J85" s="4">
        <v>7.5431300000000005E-4</v>
      </c>
      <c r="K85" s="1">
        <v>18020125001502</v>
      </c>
      <c r="L85" t="s">
        <v>171</v>
      </c>
      <c r="O85">
        <v>0</v>
      </c>
      <c r="P85" t="s">
        <v>196</v>
      </c>
      <c r="Q85" t="s">
        <v>196</v>
      </c>
      <c r="R85" t="s">
        <v>196</v>
      </c>
      <c r="S85" t="s">
        <v>193</v>
      </c>
      <c r="T85" t="s">
        <v>196</v>
      </c>
      <c r="U85" t="s">
        <v>196</v>
      </c>
      <c r="V85">
        <v>8063821</v>
      </c>
      <c r="W85" t="s">
        <v>196</v>
      </c>
      <c r="X85">
        <v>2</v>
      </c>
      <c r="Y85">
        <v>4.0860000000000003</v>
      </c>
      <c r="Z85">
        <v>14.952</v>
      </c>
      <c r="AA85">
        <v>12.423</v>
      </c>
      <c r="AB85">
        <v>9.0380000000000003</v>
      </c>
      <c r="AC85">
        <v>5.5650000000000004</v>
      </c>
      <c r="AD85">
        <v>2.403</v>
      </c>
      <c r="AE85">
        <v>1.744</v>
      </c>
      <c r="AF85">
        <v>0.79300000000000004</v>
      </c>
      <c r="AG85">
        <v>0.255</v>
      </c>
      <c r="AH85">
        <v>0.38500000000000001</v>
      </c>
      <c r="AI85">
        <v>0.29599999999999999</v>
      </c>
      <c r="AJ85">
        <v>4.1390000000000002</v>
      </c>
      <c r="AK85">
        <v>11.143000000000001</v>
      </c>
      <c r="AL85" t="s">
        <v>490</v>
      </c>
      <c r="AM85">
        <v>-1</v>
      </c>
      <c r="AN85">
        <v>0.62347188264058695</v>
      </c>
      <c r="AO85" t="s">
        <v>525</v>
      </c>
      <c r="AP85">
        <v>1.8703714940320699</v>
      </c>
      <c r="AQ85" t="s">
        <v>526</v>
      </c>
      <c r="AR85">
        <v>0.32672881380246299</v>
      </c>
      <c r="AS85" t="s">
        <v>218</v>
      </c>
      <c r="AT85" s="10">
        <v>754313</v>
      </c>
      <c r="AU85" s="10">
        <v>7.5505143661282401E-2</v>
      </c>
      <c r="AV85" s="10">
        <v>0.403295817118066</v>
      </c>
      <c r="AW85" s="10">
        <v>2.3086822102443998</v>
      </c>
      <c r="AX85" s="10">
        <v>1.2098588901960801</v>
      </c>
      <c r="AY85" s="10">
        <f t="shared" si="3"/>
        <v>0.10993724810687618</v>
      </c>
      <c r="AZ85" s="10">
        <v>2.51683812204275E-3</v>
      </c>
      <c r="BA85" s="10">
        <v>1.34431939039355E-2</v>
      </c>
      <c r="BB85" s="10">
        <v>7.6956073674813302E-2</v>
      </c>
      <c r="BC85" s="10">
        <v>4.0328629673202603E-2</v>
      </c>
      <c r="BD85" s="10">
        <v>3.0202057464512999E-4</v>
      </c>
      <c r="BE85" s="10">
        <v>1.6131832684722601E-3</v>
      </c>
      <c r="BF85" s="10">
        <v>9.2347288409775994E-3</v>
      </c>
      <c r="BH85" s="10">
        <v>1.9833350346523001E-4</v>
      </c>
      <c r="BI85" s="10">
        <f t="shared" si="4"/>
        <v>3.1994828936759408E-7</v>
      </c>
      <c r="BJ85" s="10"/>
      <c r="BK85" s="10"/>
      <c r="BL85" s="10"/>
      <c r="BM85" s="10"/>
    </row>
    <row r="86" spans="1:65" x14ac:dyDescent="0.25">
      <c r="A86">
        <v>84</v>
      </c>
      <c r="B86">
        <v>2020</v>
      </c>
      <c r="C86" t="s">
        <v>186</v>
      </c>
      <c r="D86" t="s">
        <v>9</v>
      </c>
      <c r="E86">
        <v>40.162275000000001</v>
      </c>
      <c r="F86">
        <v>-122.221378</v>
      </c>
      <c r="H86" s="1">
        <v>110000730745</v>
      </c>
      <c r="I86" s="6" t="s">
        <v>3</v>
      </c>
      <c r="J86" s="4">
        <v>7.5215500000000001E-4</v>
      </c>
      <c r="K86" s="1">
        <v>18020155005966</v>
      </c>
      <c r="L86" t="s">
        <v>8</v>
      </c>
      <c r="O86">
        <v>0</v>
      </c>
      <c r="P86" t="s">
        <v>196</v>
      </c>
      <c r="Q86" t="s">
        <v>196</v>
      </c>
      <c r="R86" t="s">
        <v>196</v>
      </c>
      <c r="S86" t="s">
        <v>193</v>
      </c>
      <c r="T86" t="s">
        <v>196</v>
      </c>
      <c r="U86" t="s">
        <v>196</v>
      </c>
      <c r="V86">
        <v>12068884</v>
      </c>
      <c r="W86" t="s">
        <v>651</v>
      </c>
      <c r="X86">
        <v>7</v>
      </c>
      <c r="Y86">
        <v>13262.903</v>
      </c>
      <c r="Z86">
        <v>17448.337</v>
      </c>
      <c r="AA86">
        <v>21238.994999999999</v>
      </c>
      <c r="AB86">
        <v>20966.624</v>
      </c>
      <c r="AC86">
        <v>12911.416999999999</v>
      </c>
      <c r="AD86">
        <v>12846.629000000001</v>
      </c>
      <c r="AE86">
        <v>12642.728999999999</v>
      </c>
      <c r="AF86">
        <v>13130.35</v>
      </c>
      <c r="AG86">
        <v>11740.611999999999</v>
      </c>
      <c r="AH86">
        <v>8376.2139999999999</v>
      </c>
      <c r="AI86">
        <v>6585.5510000000004</v>
      </c>
      <c r="AJ86">
        <v>9004.4850000000006</v>
      </c>
      <c r="AK86">
        <v>12476.655000000001</v>
      </c>
      <c r="AL86" t="s">
        <v>492</v>
      </c>
      <c r="AM86">
        <v>-1</v>
      </c>
      <c r="AN86">
        <v>16101.5916870416</v>
      </c>
      <c r="AO86" t="s">
        <v>525</v>
      </c>
      <c r="AP86">
        <v>28442.803917580899</v>
      </c>
      <c r="AQ86" t="s">
        <v>526</v>
      </c>
      <c r="AR86">
        <v>12065.452137124301</v>
      </c>
      <c r="AS86" t="s">
        <v>218</v>
      </c>
      <c r="AT86" s="10">
        <v>752155</v>
      </c>
      <c r="AU86" s="10">
        <v>2.31948763404211E-5</v>
      </c>
      <c r="AV86" s="10">
        <v>2.6444474397795999E-5</v>
      </c>
      <c r="AW86" s="10">
        <v>6.2339561870681099E-5</v>
      </c>
      <c r="AX86" s="10">
        <v>4.6713083688821198E-5</v>
      </c>
      <c r="AY86" s="10">
        <f t="shared" si="3"/>
        <v>2.9685505652705287E-6</v>
      </c>
      <c r="AZ86" s="10">
        <v>7.7316254468070303E-7</v>
      </c>
      <c r="BA86" s="10">
        <v>8.8148247992653305E-7</v>
      </c>
      <c r="BB86" s="10">
        <v>2.07798539568937E-6</v>
      </c>
      <c r="BC86" s="10">
        <v>1.5571027896273699E-6</v>
      </c>
      <c r="BD86" s="10">
        <v>9.2779505361684397E-8</v>
      </c>
      <c r="BE86" s="10">
        <v>1.05777897591184E-7</v>
      </c>
      <c r="BF86" s="10">
        <v>2.4935824748272402E-7</v>
      </c>
      <c r="BH86" s="10">
        <v>0.643778271686126</v>
      </c>
      <c r="BI86" s="10">
        <f t="shared" si="4"/>
        <v>6.809751209384447E-8</v>
      </c>
      <c r="BJ86" s="10"/>
      <c r="BK86" s="10"/>
      <c r="BL86" s="10"/>
      <c r="BM86" s="10"/>
    </row>
    <row r="87" spans="1:65" x14ac:dyDescent="0.25">
      <c r="A87">
        <v>85</v>
      </c>
      <c r="B87">
        <v>2015</v>
      </c>
      <c r="C87" t="s">
        <v>195</v>
      </c>
      <c r="D87" t="s">
        <v>220</v>
      </c>
      <c r="E87">
        <v>40.631622</v>
      </c>
      <c r="F87">
        <v>-80.546319999999994</v>
      </c>
      <c r="G87" t="s">
        <v>652</v>
      </c>
      <c r="H87" s="1">
        <v>110027242320</v>
      </c>
      <c r="I87" s="6" t="s">
        <v>531</v>
      </c>
      <c r="J87" s="4">
        <v>4.53592E-4</v>
      </c>
      <c r="K87" s="1">
        <v>5030101000013</v>
      </c>
      <c r="L87" t="s">
        <v>653</v>
      </c>
      <c r="O87">
        <v>2019</v>
      </c>
      <c r="P87" t="s">
        <v>196</v>
      </c>
      <c r="Q87">
        <v>4.9000000000000002E-2</v>
      </c>
      <c r="R87">
        <v>6.1251015833333297E-2</v>
      </c>
      <c r="S87" t="s">
        <v>193</v>
      </c>
      <c r="T87">
        <v>4.9000000000000002E-2</v>
      </c>
      <c r="U87">
        <v>7.5814270000000003E-2</v>
      </c>
      <c r="V87">
        <v>3821113</v>
      </c>
      <c r="W87" t="s">
        <v>608</v>
      </c>
      <c r="X87">
        <v>8</v>
      </c>
      <c r="Y87">
        <v>40184.074000000001</v>
      </c>
      <c r="Z87">
        <v>50229.616000000002</v>
      </c>
      <c r="AA87">
        <v>57064.658000000003</v>
      </c>
      <c r="AB87">
        <v>70446.418000000005</v>
      </c>
      <c r="AC87">
        <v>60572.127999999997</v>
      </c>
      <c r="AD87">
        <v>43044.048000000003</v>
      </c>
      <c r="AE87">
        <v>31027.32</v>
      </c>
      <c r="AF87">
        <v>22021.194</v>
      </c>
      <c r="AG87">
        <v>16722.298999999999</v>
      </c>
      <c r="AH87">
        <v>17538.352999999999</v>
      </c>
      <c r="AI87">
        <v>21341.447</v>
      </c>
      <c r="AJ87">
        <v>35151.821000000004</v>
      </c>
      <c r="AK87">
        <v>52338.614999999998</v>
      </c>
      <c r="AL87" t="s">
        <v>490</v>
      </c>
      <c r="AM87">
        <v>0.18536496332518301</v>
      </c>
      <c r="AN87">
        <v>40885.816625916901</v>
      </c>
      <c r="AO87" t="s">
        <v>525</v>
      </c>
      <c r="AP87">
        <v>81835.543434708394</v>
      </c>
      <c r="AQ87" t="s">
        <v>526</v>
      </c>
      <c r="AR87">
        <v>31658.6975893704</v>
      </c>
      <c r="AS87" t="s">
        <v>218</v>
      </c>
      <c r="AT87" s="10">
        <v>453592</v>
      </c>
      <c r="AU87" s="10">
        <v>4.6167326886766101E-6</v>
      </c>
      <c r="AV87" s="10">
        <v>5.5427260694113098E-6</v>
      </c>
      <c r="AW87" s="10">
        <v>1.4327563498768101E-5</v>
      </c>
      <c r="AX87" s="10">
        <v>1.10941161858187E-5</v>
      </c>
      <c r="AY87" s="10">
        <f t="shared" si="3"/>
        <v>6.822649285127667E-7</v>
      </c>
      <c r="AZ87" s="10">
        <v>1.5389108962255401E-7</v>
      </c>
      <c r="BA87" s="10">
        <v>1.8475753564704399E-7</v>
      </c>
      <c r="BB87" s="10">
        <v>4.7758544995893599E-7</v>
      </c>
      <c r="BC87" s="10">
        <v>3.6980387286062402E-7</v>
      </c>
      <c r="BD87" s="10">
        <v>1.8466930754706502E-8</v>
      </c>
      <c r="BE87" s="10">
        <v>2.21709042776452E-8</v>
      </c>
      <c r="BF87" s="10">
        <v>5.7310253995072303E-8</v>
      </c>
      <c r="BH87" s="10">
        <v>1</v>
      </c>
      <c r="BI87" s="10">
        <f t="shared" si="4"/>
        <v>2.21709042776452E-8</v>
      </c>
      <c r="BJ87" s="10"/>
      <c r="BK87" s="10"/>
      <c r="BL87" s="10"/>
      <c r="BM87" s="10"/>
    </row>
    <row r="88" spans="1:65" x14ac:dyDescent="0.25">
      <c r="A88">
        <v>86</v>
      </c>
      <c r="B88">
        <v>2019</v>
      </c>
      <c r="C88" t="s">
        <v>186</v>
      </c>
      <c r="D88" t="s">
        <v>137</v>
      </c>
      <c r="E88">
        <v>30.558889000000001</v>
      </c>
      <c r="F88">
        <v>-91.217500000000001</v>
      </c>
      <c r="H88" s="1">
        <v>110012254363</v>
      </c>
      <c r="I88" s="6" t="s">
        <v>673</v>
      </c>
      <c r="J88" s="4">
        <v>1.4080199999999999E-5</v>
      </c>
      <c r="K88" s="1">
        <v>8070201006484</v>
      </c>
      <c r="L88" t="s">
        <v>136</v>
      </c>
      <c r="O88">
        <v>0</v>
      </c>
      <c r="P88" t="s">
        <v>196</v>
      </c>
      <c r="Q88" t="s">
        <v>196</v>
      </c>
      <c r="R88" t="s">
        <v>196</v>
      </c>
      <c r="S88" t="s">
        <v>193</v>
      </c>
      <c r="T88" t="s">
        <v>196</v>
      </c>
      <c r="U88" t="s">
        <v>196</v>
      </c>
      <c r="V88">
        <v>19085395</v>
      </c>
      <c r="W88" t="s">
        <v>196</v>
      </c>
      <c r="X88">
        <v>2</v>
      </c>
      <c r="Y88">
        <v>53.017000000000003</v>
      </c>
      <c r="Z88">
        <v>91.912999999999997</v>
      </c>
      <c r="AA88">
        <v>92.9</v>
      </c>
      <c r="AB88">
        <v>78.801000000000002</v>
      </c>
      <c r="AC88">
        <v>82.66</v>
      </c>
      <c r="AD88">
        <v>50.098999999999997</v>
      </c>
      <c r="AE88">
        <v>30.588999999999999</v>
      </c>
      <c r="AF88">
        <v>15.778</v>
      </c>
      <c r="AG88">
        <v>15.89</v>
      </c>
      <c r="AH88">
        <v>17.835999999999999</v>
      </c>
      <c r="AI88">
        <v>27.228000000000002</v>
      </c>
      <c r="AJ88">
        <v>77.117000000000004</v>
      </c>
      <c r="AK88">
        <v>70.965000000000003</v>
      </c>
      <c r="AL88" t="s">
        <v>489</v>
      </c>
      <c r="AM88">
        <v>-1</v>
      </c>
      <c r="AN88">
        <v>38.577017114914398</v>
      </c>
      <c r="AO88" t="s">
        <v>525</v>
      </c>
      <c r="AP88">
        <v>66.398214832557997</v>
      </c>
      <c r="AQ88" t="s">
        <v>526</v>
      </c>
      <c r="AR88">
        <v>23.375473761887399</v>
      </c>
      <c r="AS88" t="s">
        <v>218</v>
      </c>
      <c r="AT88" s="10">
        <v>14080.2</v>
      </c>
      <c r="AU88" s="10">
        <v>1.08621796782164E-4</v>
      </c>
      <c r="AV88" s="10">
        <v>2.1205690598018699E-4</v>
      </c>
      <c r="AW88" s="10">
        <v>6.0234928897813901E-4</v>
      </c>
      <c r="AX88" s="10">
        <v>3.6498933958676601E-4</v>
      </c>
      <c r="AY88" s="10">
        <f t="shared" si="3"/>
        <v>2.8683299475149475E-5</v>
      </c>
      <c r="AZ88" s="10">
        <v>3.6207265594054698E-6</v>
      </c>
      <c r="BA88" s="10">
        <v>7.0685635326728997E-6</v>
      </c>
      <c r="BB88" s="10">
        <v>2.00783096326046E-5</v>
      </c>
      <c r="BC88" s="10">
        <v>1.2166311319558899E-5</v>
      </c>
      <c r="BD88" s="10">
        <v>4.3448718712865698E-7</v>
      </c>
      <c r="BE88" s="10">
        <v>8.4822762392074803E-7</v>
      </c>
      <c r="BF88" s="10">
        <v>2.4093971559125498E-6</v>
      </c>
      <c r="BH88" s="10">
        <v>9.8283251663925099E-5</v>
      </c>
      <c r="BI88" s="10">
        <f t="shared" si="4"/>
        <v>8.3366569030096096E-11</v>
      </c>
      <c r="BJ88" s="10"/>
      <c r="BK88" s="10"/>
      <c r="BL88" s="10"/>
      <c r="BM88" s="10"/>
    </row>
    <row r="89" spans="1:65" x14ac:dyDescent="0.25">
      <c r="A89">
        <v>87</v>
      </c>
      <c r="B89">
        <v>2015</v>
      </c>
      <c r="C89" t="s">
        <v>195</v>
      </c>
      <c r="D89" t="s">
        <v>654</v>
      </c>
      <c r="E89">
        <v>32.835301999999999</v>
      </c>
      <c r="F89">
        <v>-79.958067999999997</v>
      </c>
      <c r="G89" t="s">
        <v>655</v>
      </c>
      <c r="H89" s="1">
        <v>110017326963</v>
      </c>
      <c r="I89" s="6" t="s">
        <v>187</v>
      </c>
      <c r="J89" s="4">
        <v>0</v>
      </c>
      <c r="K89" s="1">
        <v>3050201058184</v>
      </c>
      <c r="L89" t="s">
        <v>656</v>
      </c>
      <c r="M89" t="s">
        <v>657</v>
      </c>
      <c r="O89">
        <v>2019</v>
      </c>
      <c r="P89" t="s">
        <v>196</v>
      </c>
      <c r="Q89" t="s">
        <v>196</v>
      </c>
      <c r="R89" t="s">
        <v>196</v>
      </c>
      <c r="S89" t="s">
        <v>193</v>
      </c>
      <c r="T89" t="s">
        <v>196</v>
      </c>
      <c r="U89" t="s">
        <v>196</v>
      </c>
      <c r="V89">
        <v>9633297</v>
      </c>
      <c r="W89" t="s">
        <v>658</v>
      </c>
      <c r="X89">
        <v>5</v>
      </c>
      <c r="Y89">
        <v>315.654</v>
      </c>
      <c r="Z89">
        <v>552.86699999999996</v>
      </c>
      <c r="AA89">
        <v>550.28700000000003</v>
      </c>
      <c r="AB89">
        <v>550.41399999999999</v>
      </c>
      <c r="AC89">
        <v>320.26100000000002</v>
      </c>
      <c r="AD89">
        <v>192.19300000000001</v>
      </c>
      <c r="AE89">
        <v>200.85300000000001</v>
      </c>
      <c r="AF89">
        <v>179.26900000000001</v>
      </c>
      <c r="AG89">
        <v>257.88299999999998</v>
      </c>
      <c r="AH89">
        <v>233.21199999999999</v>
      </c>
      <c r="AI89">
        <v>246.172</v>
      </c>
      <c r="AJ89">
        <v>232.56700000000001</v>
      </c>
      <c r="AK89">
        <v>353.47699999999998</v>
      </c>
      <c r="AL89" t="s">
        <v>489</v>
      </c>
      <c r="AM89">
        <v>-1</v>
      </c>
      <c r="AN89">
        <v>438.31051344743298</v>
      </c>
      <c r="AO89" t="s">
        <v>525</v>
      </c>
      <c r="AP89">
        <v>619.08894740019605</v>
      </c>
      <c r="AQ89" t="s">
        <v>526</v>
      </c>
      <c r="AR89">
        <v>289.31144874776697</v>
      </c>
      <c r="AS89" t="s">
        <v>218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f t="shared" si="3"/>
        <v>0</v>
      </c>
      <c r="AZ89" s="10">
        <v>0</v>
      </c>
      <c r="BA89" s="10">
        <v>0</v>
      </c>
      <c r="BB89" s="10">
        <v>0</v>
      </c>
      <c r="BC89" s="10">
        <v>0</v>
      </c>
      <c r="BD89" s="10">
        <v>0</v>
      </c>
      <c r="BE89" s="10">
        <v>0</v>
      </c>
      <c r="BF89" s="10">
        <v>0</v>
      </c>
      <c r="BH89" s="10" t="s">
        <v>196</v>
      </c>
      <c r="BI89" s="10" t="e">
        <f t="shared" si="4"/>
        <v>#VALUE!</v>
      </c>
      <c r="BJ89" s="10"/>
      <c r="BK89" s="10"/>
      <c r="BL89" s="10"/>
      <c r="BM89" s="10"/>
    </row>
    <row r="90" spans="1:65" x14ac:dyDescent="0.25">
      <c r="A90">
        <v>88</v>
      </c>
      <c r="B90">
        <v>2015</v>
      </c>
      <c r="C90" t="s">
        <v>195</v>
      </c>
      <c r="D90" t="s">
        <v>659</v>
      </c>
      <c r="E90">
        <v>35.632199999999997</v>
      </c>
      <c r="F90">
        <v>-80.541200000000003</v>
      </c>
      <c r="G90" t="s">
        <v>660</v>
      </c>
      <c r="H90" s="1">
        <v>110000348936</v>
      </c>
      <c r="I90" s="6" t="s">
        <v>188</v>
      </c>
      <c r="J90" s="4">
        <v>0</v>
      </c>
      <c r="K90" s="1">
        <v>3040103000632</v>
      </c>
      <c r="L90" t="s">
        <v>661</v>
      </c>
      <c r="O90">
        <v>2019</v>
      </c>
      <c r="P90">
        <v>0</v>
      </c>
      <c r="Q90" t="s">
        <v>196</v>
      </c>
      <c r="R90" t="s">
        <v>196</v>
      </c>
      <c r="S90" t="s">
        <v>193</v>
      </c>
      <c r="T90">
        <v>0</v>
      </c>
      <c r="U90">
        <v>0</v>
      </c>
      <c r="V90">
        <v>9222675</v>
      </c>
      <c r="W90" t="s">
        <v>196</v>
      </c>
      <c r="X90">
        <v>1</v>
      </c>
      <c r="Y90">
        <v>0.63300000000000001</v>
      </c>
      <c r="Z90">
        <v>0.92100000000000004</v>
      </c>
      <c r="AA90">
        <v>1.091</v>
      </c>
      <c r="AB90">
        <v>1.2290000000000001</v>
      </c>
      <c r="AC90">
        <v>0.84199999999999997</v>
      </c>
      <c r="AD90">
        <v>0.53200000000000003</v>
      </c>
      <c r="AE90">
        <v>0.372</v>
      </c>
      <c r="AF90">
        <v>0.31900000000000001</v>
      </c>
      <c r="AG90">
        <v>0.25800000000000001</v>
      </c>
      <c r="AH90">
        <v>0.56799999999999995</v>
      </c>
      <c r="AI90">
        <v>0.82699999999999996</v>
      </c>
      <c r="AJ90">
        <v>0.61399999999999999</v>
      </c>
      <c r="AK90">
        <v>0.83599999999999997</v>
      </c>
      <c r="AL90" t="s">
        <v>490</v>
      </c>
      <c r="AM90">
        <v>0</v>
      </c>
      <c r="AN90">
        <v>0.63080684596576997</v>
      </c>
      <c r="AO90" t="s">
        <v>525</v>
      </c>
      <c r="AP90">
        <v>0.77938187115239399</v>
      </c>
      <c r="AQ90" t="s">
        <v>526</v>
      </c>
      <c r="AR90">
        <v>0.33070880719108098</v>
      </c>
      <c r="AS90" t="s">
        <v>218</v>
      </c>
      <c r="AT90" s="10">
        <v>0</v>
      </c>
      <c r="AU90" s="10">
        <v>0</v>
      </c>
      <c r="AV90" s="10">
        <v>0</v>
      </c>
      <c r="AW90" s="10">
        <v>0</v>
      </c>
      <c r="AX90" s="10">
        <v>0</v>
      </c>
      <c r="AY90" s="10">
        <f t="shared" si="3"/>
        <v>0</v>
      </c>
      <c r="AZ90" s="10">
        <v>0</v>
      </c>
      <c r="BA90" s="10">
        <v>0</v>
      </c>
      <c r="BB90" s="10">
        <v>0</v>
      </c>
      <c r="BC90" s="10">
        <v>0</v>
      </c>
      <c r="BD90" s="10">
        <v>0</v>
      </c>
      <c r="BE90" s="10">
        <v>0</v>
      </c>
      <c r="BF90" s="10">
        <v>0</v>
      </c>
      <c r="BH90" s="10">
        <v>7.0174154958502501E-5</v>
      </c>
      <c r="BI90" s="10">
        <f t="shared" si="4"/>
        <v>0</v>
      </c>
      <c r="BJ90" s="10"/>
      <c r="BK90" s="10"/>
      <c r="BL90" s="10"/>
      <c r="BM90" s="10"/>
    </row>
    <row r="91" spans="1:65" x14ac:dyDescent="0.25">
      <c r="A91">
        <v>89</v>
      </c>
      <c r="B91">
        <v>2015</v>
      </c>
      <c r="C91" t="s">
        <v>195</v>
      </c>
      <c r="D91" t="s">
        <v>662</v>
      </c>
      <c r="E91">
        <v>28.901664</v>
      </c>
      <c r="F91">
        <v>-95.383094</v>
      </c>
      <c r="G91" t="s">
        <v>663</v>
      </c>
      <c r="H91" s="1">
        <v>110020774740</v>
      </c>
      <c r="I91" s="6" t="s">
        <v>673</v>
      </c>
      <c r="J91" s="4">
        <v>0</v>
      </c>
      <c r="K91" s="1">
        <v>12040205000505</v>
      </c>
      <c r="L91" t="s">
        <v>664</v>
      </c>
      <c r="O91">
        <v>2019</v>
      </c>
      <c r="P91" t="s">
        <v>196</v>
      </c>
      <c r="Q91" t="s">
        <v>196</v>
      </c>
      <c r="R91">
        <v>0.26354166666666701</v>
      </c>
      <c r="S91" t="s">
        <v>193</v>
      </c>
      <c r="T91">
        <v>0.26354166666666701</v>
      </c>
      <c r="U91">
        <v>0.40775957291666698</v>
      </c>
      <c r="V91">
        <v>1576424</v>
      </c>
      <c r="W91" t="s">
        <v>196</v>
      </c>
      <c r="X91">
        <v>7</v>
      </c>
      <c r="Y91">
        <v>6.9000000000000006E-2</v>
      </c>
      <c r="Z91">
        <v>9.4E-2</v>
      </c>
      <c r="AA91">
        <v>0.10100000000000001</v>
      </c>
      <c r="AB91">
        <v>7.0999999999999994E-2</v>
      </c>
      <c r="AC91">
        <v>0.03</v>
      </c>
      <c r="AD91">
        <v>4.5999999999999999E-2</v>
      </c>
      <c r="AE91">
        <v>3.7999999999999999E-2</v>
      </c>
      <c r="AF91">
        <v>8.0000000000000002E-3</v>
      </c>
      <c r="AG91">
        <v>5.0000000000000001E-3</v>
      </c>
      <c r="AH91">
        <v>3.0000000000000001E-3</v>
      </c>
      <c r="AI91">
        <v>6.0000000000000001E-3</v>
      </c>
      <c r="AJ91">
        <v>5.0000000000000001E-3</v>
      </c>
      <c r="AK91">
        <v>9.4E-2</v>
      </c>
      <c r="AL91" t="s">
        <v>491</v>
      </c>
      <c r="AM91">
        <v>0.996967170945395</v>
      </c>
      <c r="AN91">
        <v>0.996967170945395</v>
      </c>
      <c r="AO91" t="s">
        <v>217</v>
      </c>
      <c r="AP91">
        <v>0.996967170945395</v>
      </c>
      <c r="AQ91" t="s">
        <v>217</v>
      </c>
      <c r="AR91">
        <v>0.996967170945395</v>
      </c>
      <c r="AS91" t="s">
        <v>217</v>
      </c>
      <c r="AT91" s="10">
        <v>0</v>
      </c>
      <c r="AU91" s="10">
        <v>0</v>
      </c>
      <c r="AV91" s="10">
        <v>0</v>
      </c>
      <c r="AW91" s="10">
        <v>0</v>
      </c>
      <c r="AX91" s="10">
        <v>0</v>
      </c>
      <c r="AY91" s="10">
        <f t="shared" si="3"/>
        <v>0</v>
      </c>
      <c r="AZ91" s="10">
        <v>0</v>
      </c>
      <c r="BA91" s="10">
        <v>0</v>
      </c>
      <c r="BB91" s="10">
        <v>0</v>
      </c>
      <c r="BC91" s="10">
        <v>0</v>
      </c>
      <c r="BD91" s="10">
        <v>0</v>
      </c>
      <c r="BE91" s="10">
        <v>0</v>
      </c>
      <c r="BF91" s="10">
        <v>0</v>
      </c>
      <c r="BH91" s="10" t="s">
        <v>196</v>
      </c>
      <c r="BI91" s="10" t="e">
        <f t="shared" si="4"/>
        <v>#VALUE!</v>
      </c>
      <c r="BJ91" s="10"/>
      <c r="BK91" s="10"/>
      <c r="BL91" s="10"/>
      <c r="BM91" s="10"/>
    </row>
    <row r="102" spans="9:9" x14ac:dyDescent="0.25">
      <c r="I102" s="4">
        <f>226.8/250</f>
        <v>0.90720000000000001</v>
      </c>
    </row>
  </sheetData>
  <sheetProtection sheet="1" objects="1" scenarios="1" formatCells="0" formatColumns="0" formatRows="0"/>
  <autoFilter ref="A2:BN91" xr:uid="{59422021-DA0B-4A5B-9808-06A226A58A9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29f62856-1543-49d4-a736-4569d363f533" ContentTypeId="0x0101" PreviousValue="false"/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t T K R V m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t T K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U y k V Y o i k e 4 D g A A A B E A A A A T A B w A R m 9 y b X V s Y X M v U 2 V j d G l v b j E u b S C i G A A o o B Q A A A A A A A A A A A A A A A A A A A A A A A A A A A A r T k 0 u y c z P U w i G 0 I b W A F B L A Q I t A B Q A A g A I A L U y k V Z v / H M r p A A A A P Y A A A A S A A A A A A A A A A A A A A A A A A A A A A B D b 2 5 m a W c v U G F j a 2 F n Z S 5 4 b W x Q S w E C L Q A U A A I A C A C 1 M p F W D 8 r p q 6 Q A A A D p A A A A E w A A A A A A A A A A A A A A A A D w A A A A W 0 N v b n R l b n R f V H l w Z X N d L n h t b F B L A Q I t A B Q A A g A I A L U y k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e z 8 E K K s 4 o T K N / Q H A Z N c Q 9 A A A A A A I A A A A A A A N m A A D A A A A A E A A A A P q X v 0 H 7 J l + v J 8 S v S s V R K o 0 A A A A A B I A A A K A A A A A Q A A A A w p b Y B B R e C X M F v X b n / U w 6 / F A A A A A n f Y A Z V Y U X k b i + L f o 0 H U k S 5 A y b O Q a I H y 0 K E 8 V 9 9 J B s j k b f P F 1 y D / / B f M 8 z 8 V B u d V a E p B l a i E X K 9 r h 6 n 0 S B U x t Q K 4 v m a o l W A s l P 4 x T X L P J 0 n x Q A A A C g 5 L h 3 U Y v R 9 e S k 9 f c m N 2 P s F w n 8 C Q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fa91fb-a0ff-4ac5-b2db-65c790d184a4">
      <Value>1671</Value>
      <Value>1411</Value>
      <Value>1920</Value>
      <Value>1673</Value>
    </TaxCatchAll>
    <lcf76f155ced4ddcb4097134ff3c332f xmlns="ead8da0f-3542-4e50-96c8-f1f698624e86">
      <Terms xmlns="http://schemas.microsoft.com/office/infopath/2007/PartnerControls"/>
    </lcf76f155ced4ddcb4097134ff3c332f>
    <_Source xmlns="http://schemas.microsoft.com/sharepoint/v3/fields" xsi:nil="true"/>
    <Language xmlns="http://schemas.microsoft.com/sharepoint/v3">English</Language>
    <_ip_UnifiedCompliancePolicyUIAction xmlns="http://schemas.microsoft.com/sharepoint/v3" xsi:nil="true"/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External_x0020_Contributor xmlns="4ffa91fb-a0ff-4ac5-b2db-65c790d184a4" xsi:nil="true"/>
    <TaxKeywordTaxHTField xmlns="4ffa91fb-a0ff-4ac5-b2db-65c790d184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12Dichloroethane</TermName>
          <TermId xmlns="http://schemas.microsoft.com/office/infopath/2007/PartnerControls">b26867e0-e188-4d8d-b848-2e1a306b3e93</TermId>
        </TermInfo>
        <TermInfo xmlns="http://schemas.microsoft.com/office/infopath/2007/PartnerControls">
          <TermName xmlns="http://schemas.microsoft.com/office/infopath/2007/PartnerControls">Drinking Water</TermName>
          <TermId xmlns="http://schemas.microsoft.com/office/infopath/2007/PartnerControls">b0f43422-05f2-4f6f-8644-12a5f7e86dc4</TermId>
        </TermInfo>
        <TermInfo xmlns="http://schemas.microsoft.com/office/infopath/2007/PartnerControls">
          <TermName xmlns="http://schemas.microsoft.com/office/infopath/2007/PartnerControls">Exposure Estimates</TermName>
          <TermId xmlns="http://schemas.microsoft.com/office/infopath/2007/PartnerControls">b579bf5a-1caf-448b-b7fb-a95bead4dff6</TermId>
        </TermInfo>
        <TermInfo xmlns="http://schemas.microsoft.com/office/infopath/2007/PartnerControls">
          <TermName xmlns="http://schemas.microsoft.com/office/infopath/2007/PartnerControls">CASRN 107-06-2</TermName>
          <TermId xmlns="http://schemas.microsoft.com/office/infopath/2007/PartnerControls">f01d8752-e9a4-4691-bb25-53c3aaed59fd</TermId>
        </TermInfo>
      </Terms>
    </TaxKeywordTaxHTField>
    <Record xmlns="4ffa91fb-a0ff-4ac5-b2db-65c790d184a4">Shared</Record>
    <_ip_UnifiedCompliancePolicyProperties xmlns="http://schemas.microsoft.com/sharepoint/v3" xsi:nil="true"/>
    <Rights xmlns="4ffa91fb-a0ff-4ac5-b2db-65c790d184a4" xsi:nil="true"/>
    <Document_x0020_Creation_x0020_Date xmlns="4ffa91fb-a0ff-4ac5-b2db-65c790d184a4">2025-08-19T14:14:53+00:00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3352F79007E408EFF44D6142FFCE2" ma:contentTypeVersion="21" ma:contentTypeDescription="Create a new document." ma:contentTypeScope="" ma:versionID="f7663de67ef2afa6df94d55ff7e56796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fecc2597-e8fd-4279-ac06-bd7c891938be" xmlns:ns6="ead8da0f-3542-4e50-96c8-f1f698624e86" targetNamespace="http://schemas.microsoft.com/office/2006/metadata/properties" ma:root="true" ma:fieldsID="02cccc19423a0cd6fa028e0a1e544b83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fecc2597-e8fd-4279-ac06-bd7c891938be"/>
    <xsd:import namespace="ead8da0f-3542-4e50-96c8-f1f698624e86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1:_ip_UnifiedCompliancePolicyProperties" minOccurs="0"/>
                <xsd:element ref="ns1:_ip_UnifiedCompliancePolicyUIAction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  <xsd:element ref="ns6:MediaServiceDateTaken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160cad11-562a-4490-8456-b2fd6f157897}" ma:internalName="TaxCatchAllLabel" ma:readOnly="true" ma:showField="CatchAllDataLabel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160cad11-562a-4490-8456-b2fd6f157897}" ma:internalName="TaxCatchAll" ma:showField="CatchAllData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c2597-e8fd-4279-ac06-bd7c891938be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8da0f-3542-4e50-96c8-f1f698624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4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4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9FA677-ED89-41E3-9076-2C774774DCA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D6842BCC-89DB-4B35-89A6-75435ACAEA2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A23A6D4-B73C-4701-9919-992DCE70A62C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sharepoint/v3"/>
    <ds:schemaRef ds:uri="http://schemas.openxmlformats.org/package/2006/metadata/core-properties"/>
    <ds:schemaRef ds:uri="http://purl.org/dc/terms/"/>
    <ds:schemaRef ds:uri="ead8da0f-3542-4e50-96c8-f1f698624e86"/>
    <ds:schemaRef ds:uri="fecc2597-e8fd-4279-ac06-bd7c891938be"/>
    <ds:schemaRef ds:uri="http://schemas.microsoft.com/sharepoint/v3/fields"/>
    <ds:schemaRef ds:uri="http://schemas.microsoft.com/sharepoint.v3"/>
    <ds:schemaRef ds:uri="4ffa91fb-a0ff-4ac5-b2db-65c790d184a4"/>
  </ds:schemaRefs>
</ds:datastoreItem>
</file>

<file path=customXml/itemProps4.xml><?xml version="1.0" encoding="utf-8"?>
<ds:datastoreItem xmlns:ds="http://schemas.openxmlformats.org/officeDocument/2006/customXml" ds:itemID="{C46FA9D2-4333-4E16-A53D-AB257B531A4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A6211DB-4187-43BC-861A-A77E23B51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fecc2597-e8fd-4279-ac06-bd7c891938be"/>
    <ds:schemaRef ds:uri="ead8da0f-3542-4e50-96c8-f1f698624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Page</vt:lpstr>
      <vt:lpstr>ReadMe</vt:lpstr>
      <vt:lpstr>Max Release DW Calcs (0% DWT)</vt:lpstr>
      <vt:lpstr>Max Release Oral Calc</vt:lpstr>
      <vt:lpstr>Max Release Derm Calc</vt:lpstr>
      <vt:lpstr>Exposure Inputs</vt:lpstr>
      <vt:lpstr>Exposure Equations</vt:lpstr>
      <vt:lpstr>Dilution Instream conc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Drinking Water Exposure Estimates for 1,2-Dichloroethane</dc:title>
  <dc:subject>Risk Evaluation for 1,2-Dichloroethane</dc:subject>
  <dc:creator>US EPA</dc:creator>
  <cp:keywords>12Dichloroethane ; CASRN 107-06-2 ; Drinking Water ; Exposure Estimates</cp:keywords>
  <dc:description/>
  <cp:lastModifiedBy>Stanfield, Kelley</cp:lastModifiedBy>
  <cp:revision/>
  <dcterms:created xsi:type="dcterms:W3CDTF">2023-07-02T17:18:19Z</dcterms:created>
  <dcterms:modified xsi:type="dcterms:W3CDTF">2026-04-30T17:43:38Z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0x010100D723352F79007E408EFF44D6142FFCE2</vt:lpwstr>
  </property>
  <property fmtid="{D5CDD505-2E9C-101B-9397-08002B2CF9AE}" pid="3" name="TaxKeyword">
    <vt:lpwstr>1671;#12Dichloroethane|b26867e0-e188-4d8d-b848-2e1a306b3e93;#1411;#Drinking Water|b0f43422-05f2-4f6f-8644-12a5f7e86dc4;#1920;#Exposure Estimates|b579bf5a-1caf-448b-b7fb-a95bead4dff6;#1673;#CASRN 107-06-2|f01d8752-e9a4-4691-bb25-53c3aaed59fd</vt:lpwstr>
  </property>
  <property fmtid="{D5CDD505-2E9C-101B-9397-08002B2CF9AE}" pid="4" name="MediaServiceImageTags">
    <vt:lpwstr/>
  </property>
  <property fmtid="{D5CDD505-2E9C-101B-9397-08002B2CF9AE}" pid="5" name="EPA Subject">
    <vt:lpwstr/>
  </property>
  <property fmtid="{D5CDD505-2E9C-101B-9397-08002B2CF9AE}" pid="6" name="Document Type">
    <vt:lpwstr/>
  </property>
  <property fmtid="{D5CDD505-2E9C-101B-9397-08002B2CF9AE}" pid="7" name="Document_x0020_Type">
    <vt:lpwstr/>
  </property>
  <property fmtid="{D5CDD505-2E9C-101B-9397-08002B2CF9AE}" pid="8" name="EPA_x0020_Subject">
    <vt:lpwstr/>
  </property>
</Properties>
</file>