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82" documentId="8_{49DE9AF5-0DB0-4028-88BA-6B36AA2DE687}" xr6:coauthVersionLast="47" xr6:coauthVersionMax="47" xr10:uidLastSave="{1394E1CA-048C-4A14-B9B0-CDE858E49B26}"/>
  <bookViews>
    <workbookView xWindow="-110" yWindow="-110" windowWidth="19420" windowHeight="10300" tabRatio="712" xr2:uid="{4EF22927-E6F9-484E-96B8-8798932E0568}"/>
  </bookViews>
  <sheets>
    <sheet name="Cover Page" sheetId="17" r:id="rId1"/>
    <sheet name="ReadMe" sheetId="1" r:id="rId2"/>
    <sheet name="Release Summary" sheetId="12" r:id="rId3"/>
    <sheet name="Release Point Summary" sheetId="8" r:id="rId4"/>
    <sheet name="Product Selector Data" sheetId="5" r:id="rId5"/>
    <sheet name="Release Parameters" sheetId="2" r:id="rId6"/>
    <sheet name="Release Calcs" sheetId="3" r:id="rId7"/>
    <sheet name="Release Results" sheetId="4" r:id="rId8"/>
    <sheet name="Static Release Results" sheetId="13" r:id="rId9"/>
    <sheet name="NAICS Codes" sheetId="15" r:id="rId10"/>
  </sheets>
  <externalReferences>
    <externalReference r:id="rId11"/>
    <externalReference r:id="rId12"/>
    <externalReference r:id="rId13"/>
    <externalReference r:id="rId14"/>
    <externalReference r:id="rId15"/>
    <externalReference r:id="rId16"/>
  </externalReferences>
  <definedNames>
    <definedName name="_2017NEI_Nonpoint_TSCA_Chem_List">#REF!</definedName>
    <definedName name="_2017NEI_tsca_chemicals_wSCCdetail_Query">#REF!</definedName>
    <definedName name="_AtRisk_ReportsSetting_ReportGraphOptions" hidden="1">"REP:VER:8.0.0GRA:OUT:003INS:00SUM:T00DET:T00SCE:02SC1:39DAT:2|TRUE, .75, 1|TRUE, 0, .25|TRUE, .9, 1SE1:40DAT:3,10,2, .95,5,16,FALSE, 0,TRUE,TRUE,TRUESE2:40DAT:3,10,2, .95,5,16,FALSE, 0,TRUE,TRUE,TRUETSI:002"</definedName>
    <definedName name="_AtRisk_ReportsSetting_ReportMulitSelections" hidden="1">"REP:VER:8.0.0MUL:OUT:T10INS:T11SUM:T10DET:T10SEN:T11SCE:T11TEM:F"</definedName>
    <definedName name="_AtRisk_ReportsSetting_ReportOptions" hidden="1">CONCATENATE("REP:VER:8.0.0OPT:RAP:01RWE:02RLS:04ROT:00RST:00RRT:04AGR:FAFN:230DAT:P:\CEB\ExistingChems\Work Plan Chemicals\2nd Batch\Flame Retardants\TCEP\b-RiskEvaluation\3_Release Estimate\Release Simulations\Saved Scenario Runs\Release_Incorp Paints and Coatin","gs COU-resin,solvent_Scenario 2_10 June 2022.xlsxOGR:T")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0" hidden="1">100</definedName>
    <definedName name="_AtRisk_SimSetting_ConvergenceTestingPeriod" hidden="1">10</definedName>
    <definedName name="_AtRisk_SimSetting_ConvergenceTolerance" localSheetId="0"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9" hidden="1">'NAICS Codes'!$A$1:$C$6</definedName>
    <definedName name="_xlnm._FilterDatabase" localSheetId="4" hidden="1">'Product Selector Data'!$A$1:$I$10</definedName>
    <definedName name="_xlnm._FilterDatabase" localSheetId="1" hidden="1">ReadMe!$B$2:$C$21</definedName>
    <definedName name="_xlnm._FilterDatabase" localSheetId="6" hidden="1">'Release Calcs'!$B$2:$H$58</definedName>
    <definedName name="_xlnm._FilterDatabase" localSheetId="5" hidden="1">'Release Parameters'!$B$2:$P$315</definedName>
    <definedName name="_xlnm._FilterDatabase" localSheetId="3" hidden="1">'Release Point Summary'!$A$1:$M$15</definedName>
    <definedName name="_xlnm._FilterDatabase" localSheetId="7" hidden="1">'Release Results'!$A$1:$L$167</definedName>
    <definedName name="_xlnm._FilterDatabase" localSheetId="2" hidden="1">'Release Summary'!$A$1:$K$29</definedName>
    <definedName name="_xlnm._FilterDatabase" localSheetId="8" hidden="1">'Static Release Results'!$A$1:$L$166</definedName>
    <definedName name="A_app_site">'Release Parameters'!$D$21</definedName>
    <definedName name="AER">'[1]Exposure Parameters'!$L$6</definedName>
    <definedName name="Air_speed">'[2]Release Parameters'!$L$8</definedName>
    <definedName name="Air_speed_cm_per_s">'[1]Exposure Parameters'!$L$8</definedName>
    <definedName name="Amt_degreaser_app">'[1]Release Parameters'!$D$8</definedName>
    <definedName name="Amt_tDCE">'[1]Release Calcs'!$E$5</definedName>
    <definedName name="Amt_tDCE_app">'[1]Release Parameters'!$D$6</definedName>
    <definedName name="AREA_opening">'Release Parameters'!$D$28</definedName>
    <definedName name="AT">#REF!</definedName>
    <definedName name="AT_50th_non_cancer">#REF!</definedName>
    <definedName name="AT_50th_non_cancer_DC">#REF!</definedName>
    <definedName name="AT_95th_non_cancer">#REF!</definedName>
    <definedName name="AT_95th_non_cancer_DC">#REF!</definedName>
    <definedName name="AT_AC" localSheetId="0">#REF!</definedName>
    <definedName name="AT_AC">'[3]List Values'!$K$46</definedName>
    <definedName name="AT_AC_DC">#REF!</definedName>
    <definedName name="AT_acute">'[1]Baseline Exposure Results'!$D$18</definedName>
    <definedName name="AT_ADC_high" localSheetId="0">#REF!</definedName>
    <definedName name="AT_ADC_high">'[3]List Values'!$K$37</definedName>
    <definedName name="AT_ADC_I">'[3]List Values'!$K$43</definedName>
    <definedName name="AT_ADC_mid" localSheetId="0">#REF!</definedName>
    <definedName name="AT_ADC_mid">'[3]List Values'!$K$36</definedName>
    <definedName name="AT_cancer">#REF!</definedName>
    <definedName name="AT_cancer_DC">#REF!</definedName>
    <definedName name="AT_chronic_cancer">'[1]Baseline Exposure Results'!$D$25</definedName>
    <definedName name="AT_chronic_nc">'[1]Baseline Exposure Results'!$D$24</definedName>
    <definedName name="AT_LADC" localSheetId="0">#REF!</definedName>
    <definedName name="AT_LADC">'[3]List Values'!$K$38</definedName>
    <definedName name="AWD">#REF!</definedName>
    <definedName name="AWD_DC_50th">#REF!</definedName>
    <definedName name="AWD_DC_95th">#REF!</definedName>
    <definedName name="Breathing_Ratio">'[3]List Values'!$K$42</definedName>
    <definedName name="CASRN">#REF!</definedName>
    <definedName name="CF">'[4]Release Parameters'!$D$25</definedName>
    <definedName name="Cff_mass">'[1]Exposure Calcs'!$P$103</definedName>
    <definedName name="Cff_ppm">'[1]Exposure Calcs'!$P$104</definedName>
    <definedName name="cm_per_m">'[1]Exposure Parameters'!$D$21</definedName>
    <definedName name="cm3_per_gal">'Release Parameters'!$D$34</definedName>
    <definedName name="Cnf_mass">'[1]Exposure Calcs'!$O$103</definedName>
    <definedName name="CNF_o">'[1]Exposure Calcs'!$E$20</definedName>
    <definedName name="Cnf_ppm">'[1]Exposure Calcs'!$O$104</definedName>
    <definedName name="D_container_lab_analysis">'[5]Release Parameters'!$L$13</definedName>
    <definedName name="D_container_opening">'[2]Release Parameters'!$D$25</definedName>
    <definedName name="D_contcleaning">'[6]Release Parameters'!$D$22</definedName>
    <definedName name="D_equipment">'[2]Release Parameters'!$D$24</definedName>
    <definedName name="D_opening">'Release Parameters'!$D$27</definedName>
    <definedName name="Daily_air">'[6]Release Calcs'!$E$17</definedName>
    <definedName name="Daily_water">'[6]Release Calcs'!$E$18</definedName>
    <definedName name="ED">#REF!</definedName>
    <definedName name="ED_24">'[3]List Values'!$K$30</definedName>
    <definedName name="ED_8">'[3]List Values'!$K$29</definedName>
    <definedName name="ED_AC">#REF!</definedName>
    <definedName name="ED_AC_DC">#REF!</definedName>
    <definedName name="ED_acute">'[1]Baseline Exposure Results'!$D$17</definedName>
    <definedName name="ED_chronic" localSheetId="0">#REF!</definedName>
    <definedName name="ED_chronic">'[1]Baseline Exposure Results'!$D$19</definedName>
    <definedName name="ED_chronic_DC">#REF!</definedName>
    <definedName name="EF">#REF!</definedName>
    <definedName name="EF_C">'[3]List Values'!$K$32</definedName>
    <definedName name="EF_chronic">'[1]Baseline Exposure Results'!$D$20</definedName>
    <definedName name="EF_I">'[3]List Values'!$K$44</definedName>
    <definedName name="EG">#REF!</definedName>
    <definedName name="F_chem_side">'Release Parameters'!$D$42</definedName>
    <definedName name="F_chem_SPF">'Release Calcs'!$E$5</definedName>
    <definedName name="F_container_disp">'Release Parameters'!$D$26</definedName>
    <definedName name="F_container_residue">'[2]Release Parameters'!$L$6</definedName>
    <definedName name="F_contloss">'[6]Release Parameters'!$L$6</definedName>
    <definedName name="F_equipment_cleaning">'Release Parameters'!$D$31</definedName>
    <definedName name="F_loss_equip">'[5]Release Parameters'!$D$26</definedName>
    <definedName name="F_loss_small_cont">'[5]Release Parameters'!$L$6</definedName>
    <definedName name="F_product">'[4]Release Parameters'!$D$39</definedName>
    <definedName name="F_saturation">'[4]Release Parameters'!$L$7</definedName>
    <definedName name="F_saturation_unloading">'Release Parameters'!$L$8</definedName>
    <definedName name="F_side_SPF">'Release Parameters'!$D$24</definedName>
    <definedName name="F_spray_release">'Release Parameters'!$L$9</definedName>
    <definedName name="F_tDCE_3M">'[1]Release Parameters'!$D$7</definedName>
    <definedName name="F_trans_formulation">'[1]Release Parameters'!$D$22</definedName>
    <definedName name="F_Trans12DCE">'[6]Release Parameters'!$D$18</definedName>
    <definedName name="F_Trans12DCEprod">'[2]Release Parameters'!$D$46</definedName>
    <definedName name="F_trimming">'Release Parameters'!$D$32</definedName>
    <definedName name="F_vapor_pressure">'Release Parameters'!$D$29</definedName>
    <definedName name="FREQ_release">'Release Calcs'!$E$15</definedName>
    <definedName name="FSA">'[1]Exposure Calcs'!$E$9</definedName>
    <definedName name="Fsat_unload">'[2]Release Parameters'!$L$9</definedName>
    <definedName name="ft_per_cm">'Release Parameters'!$D$35</definedName>
    <definedName name="g_per_kg">'Release Parameters'!$D$38</definedName>
    <definedName name="Hours_year">'[1]Exposure Parameters'!$D$39</definedName>
    <definedName name="Job_hrs">'[1]Exposure Parameters'!$D$40</definedName>
    <definedName name="Jobs_shift">'[1]Exposure Parameters'!$D$48</definedName>
    <definedName name="Jobs_site_year">'[1]Exposure Parameters'!$D$37</definedName>
    <definedName name="kg_per_g">'Release Parameters'!$D$37</definedName>
    <definedName name="kg_per_lb">'Release Parameters'!$D$39</definedName>
    <definedName name="L_per_gal">'Release Parameters'!$D$41</definedName>
    <definedName name="L_per_m3">'[5]Release Parameters'!$D$40</definedName>
    <definedName name="lambda1">'[1]Exposure Calcs'!$E$14</definedName>
    <definedName name="lambda2">'[1]Exposure Calcs'!$E$15</definedName>
    <definedName name="lbs_per_kg">'[6]Release Parameters'!$D$28</definedName>
    <definedName name="LF_air">'[4]Release Parameters'!$L$6</definedName>
    <definedName name="LT">'[3]List Values'!$K$35</definedName>
    <definedName name="LT_chronic_cancer">'[1]Baseline Exposure Results'!$D$23</definedName>
    <definedName name="LT_chronic_nc">'[1]Baseline Exposure Results'!$D$22</definedName>
    <definedName name="m3_per_gal">'[6]Release Parameters'!$D$30</definedName>
    <definedName name="MC_On_Off">'[6]Release Parameters'!$P$6:$P$7</definedName>
    <definedName name="mg_per_g">'[1]Exposure Parameters'!$D$16</definedName>
    <definedName name="min_per_hr">'[1]Exposure Parameters'!$D$23</definedName>
    <definedName name="mL_per_L">'[5]Release Parameters'!$D$39</definedName>
    <definedName name="MW">'[3]List Values'!$J$19</definedName>
    <definedName name="MW_trans12DCE">'Release Parameters'!$D$18</definedName>
    <definedName name="N_apps_job">'[1]Exposure Parameters'!$D$45</definedName>
    <definedName name="N_bt_site_day">'[2]Release Parameters'!$D$34</definedName>
    <definedName name="N_bt_site_yr">'[2]Release Calcs'!$E$16</definedName>
    <definedName name="N_cont_unload_yr">'[2]Release Calcs'!$E$12</definedName>
    <definedName name="N_container_unload_site_day">'Release Calcs'!$E$12</definedName>
    <definedName name="N_container_unload_site_yr">'Release Calcs'!$E$13</definedName>
    <definedName name="N_contractor">'Release Calcs'!$E$11</definedName>
    <definedName name="N_form_cont_empty_site_yr">'[2]Release Calcs'!$E$16</definedName>
    <definedName name="N_sites">'Release Calcs'!$E$10</definedName>
    <definedName name="Nform_cont_empty_site_day">'[2]Release Calcs'!$E$17</definedName>
    <definedName name="Ns">'[6]Release Parameters'!$D$15</definedName>
    <definedName name="OD">'[1]Exposure Parameters'!$D$28</definedName>
    <definedName name="OH_sampling">'[5]Release Parameters'!$D$28</definedName>
    <definedName name="OHbatch">'[2]Release Parameters'!$D$31</definedName>
    <definedName name="OHequip">'[5]Release Parameters'!$D$27</definedName>
    <definedName name="OHequipment">'[2]Release Calcs'!$E$8</definedName>
    <definedName name="OHpW">'[1]Exposure Parameters'!$L$9</definedName>
    <definedName name="OPdays_recalc">'[2]Release Calcs'!$E$7</definedName>
    <definedName name="P">'[1]Exposure Parameters'!$D$13</definedName>
    <definedName name="P_atm">'Release Parameters'!$D$15</definedName>
    <definedName name="P_torr">'Release Parameters'!$D$14</definedName>
    <definedName name="Pal_Workbook_GUID" localSheetId="0" hidden="1">"SK39RLEDQA2L46YW8H5SUKN3"</definedName>
    <definedName name="Pal_Workbook_GUID" hidden="1">"GNLQD2NP7XUYQPVYTR39GQV1"</definedName>
    <definedName name="Pressure_atm">'[2]Release Parameters'!$D$18</definedName>
    <definedName name="Pressure_torr">'[2]Release Parameters'!$D$17</definedName>
    <definedName name="PV">'Release Parameters'!$D$12</definedName>
    <definedName name="Q_app_bt">'[2]Release Calcs'!$E$14</definedName>
    <definedName name="Q_app_site_yr">'[2]Release Parameters'!$L$11</definedName>
    <definedName name="Q_chem_site_day">'Release Calcs'!$E$7</definedName>
    <definedName name="Q_chem_site_day_recalc">'Release Calcs'!$E$9</definedName>
    <definedName name="Q_chem_site_yr">'Release Calcs'!$E$8</definedName>
    <definedName name="Q_chem_yr">'Release Parameters'!$D$12</definedName>
    <definedName name="Q_cont">'[2]Release Parameters'!$D$15</definedName>
    <definedName name="Q_cont_empty">'[2]Release Calcs'!$E$13</definedName>
    <definedName name="Q_FF">'[1]Exposure Calcs'!$E$11</definedName>
    <definedName name="Q_NF">'[1]Exposure Calcs'!$E$10</definedName>
    <definedName name="Q_site_yr">'[1]Release Calcs'!$E$6</definedName>
    <definedName name="Q_SPF_site">'Release Calcs'!$E$6</definedName>
    <definedName name="Q_stock_site_day">'[5]Release Parameters'!$L$11</definedName>
    <definedName name="Qchem_site_day_recalc">'[2]Release Calcs'!$E$10</definedName>
    <definedName name="Qchem_site_yr_recalc">'[2]Release Calcs'!$E$11</definedName>
    <definedName name="R_">'[1]Exposure Parameters'!$D$14</definedName>
    <definedName name="R_atm">'[4]Release Parameters'!$D$17</definedName>
    <definedName name="R_atm_cm3_per_mol_K">'Release Parameters'!$D$16</definedName>
    <definedName name="R_Ltorr_molK">'[2]Release Parameters'!$D$19</definedName>
    <definedName name="R_NF">'[1]Exposure Parameters'!$D$24</definedName>
    <definedName name="r_prod">'[5]Release Parameters'!$D$42</definedName>
    <definedName name="r_Trans12DCE">'[6]Release Parameters'!$D$24</definedName>
    <definedName name="RATE_air_speed">'Release Parameters'!$L$6</definedName>
    <definedName name="Rate_fill">'[4]Release Parameters'!$D$23</definedName>
    <definedName name="Rate_fill_container">'[2]Release Parameters'!$D$22</definedName>
    <definedName name="Rate_filldrum">'[6]Release Parameters'!$D$20</definedName>
    <definedName name="Rate_fillsmallcont">'[5]Release Parameters'!$D$25</definedName>
    <definedName name="RATE_unload">'Release Parameters'!$D$30</definedName>
    <definedName name="RD">'[6]Release Calcs'!$E$6</definedName>
    <definedName name="RD_RP1">'[6]Release Calcs'!$E$11</definedName>
    <definedName name="RD_RP3">'[6]Release Calcs'!$E$12</definedName>
    <definedName name="RD_RP4">'[6]Release Calcs'!$E$13</definedName>
    <definedName name="RD_RP5">'[6]Release Calcs'!$E$14</definedName>
    <definedName name="Release_Day_Air">'Release Calcs'!$E$29</definedName>
    <definedName name="Release_Day_Inc">'[4]Release Calcs'!$E$23</definedName>
    <definedName name="Release_Day_RP1">'Release Calcs'!$E$17</definedName>
    <definedName name="Release_Day_RP2">'Release Calcs'!$E$19</definedName>
    <definedName name="Release_Day_RP3">'Release Calcs'!$E$21</definedName>
    <definedName name="Release_Day_RP4">'Release Calcs'!$E$23</definedName>
    <definedName name="Release_Day_RP5">'Release Calcs'!$E$25</definedName>
    <definedName name="Release_Day_RP6">'Release Calcs'!$E$27</definedName>
    <definedName name="Release_Day_RP7">'[2]Release Calcs'!$E$28</definedName>
    <definedName name="Release_Day_RP8">'[5]Release Calcs'!$E$24</definedName>
    <definedName name="Release_Day_Wat_Inc_Lan">'Release Calcs'!$E$31</definedName>
    <definedName name="Release_Day_Water">'[4]Release Calcs'!$E$25</definedName>
    <definedName name="Release_Year_Air">'Release Calcs'!$E$30</definedName>
    <definedName name="Release_Year_Inc">'[4]Release Calcs'!$E$24</definedName>
    <definedName name="Release_Year_RP1">'Release Calcs'!$E$18</definedName>
    <definedName name="Release_Year_RP2">'Release Calcs'!$E$20</definedName>
    <definedName name="Release_Year_RP3">'Release Calcs'!$E$22</definedName>
    <definedName name="Release_Year_RP4">'Release Calcs'!$E$24</definedName>
    <definedName name="Release_Year_RP5">'Release Calcs'!$E$26</definedName>
    <definedName name="Release_Year_RP6">'Release Calcs'!$E$28</definedName>
    <definedName name="Release_Year_RP7">'[2]Release Calcs'!$E$29</definedName>
    <definedName name="Release_Year_RP8">'[5]Release Calcs'!$E$25</definedName>
    <definedName name="Release_Year_Wat_Inc_Lan">'Release Calcs'!$E$32</definedName>
    <definedName name="Release_Year_Water">'[4]Release Calcs'!$E$26</definedName>
    <definedName name="RHO">'[4]Release Parameters'!$D$40</definedName>
    <definedName name="RHO_formulation">'Release Parameters'!$D$43</definedName>
    <definedName name="RHO_SPF">'Release Parameters'!$D$22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imulationResultsExternalFilePath" hidden="1">"C:\Users\ERGUSER\OneDrive - Eastern Research Group\Documents\_ExChems\Chlorinated Solvents\tDCE\Monte Carlo Simulations\Blowing Agent in Spray Foam\Trans-1,2-DCE_Releases_Blowing Agent in Spray Foam_2026.01.28.RSK5"</definedName>
    <definedName name="RiskSimulationResultsStorageLocation"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RPD_RP1">'[1]Release Calcs'!$E$8</definedName>
    <definedName name="RPY_RP1">'[1]Release Calcs'!$E$7</definedName>
    <definedName name="RY_RP1">'[6]Release Calcs'!$E$7</definedName>
    <definedName name="RY_RP3">'[6]Release Calcs'!$E$8</definedName>
    <definedName name="RY_RP4">'[6]Release Calcs'!$E$9</definedName>
    <definedName name="RY_RP5">'[6]Release Calcs'!$E$10</definedName>
    <definedName name="s_per_hr">'Release Parameters'!$D$40</definedName>
    <definedName name="T">'[1]Exposure Parameters'!$D$12</definedName>
    <definedName name="t_1">'[1]Exposure Parameters'!$D$25</definedName>
    <definedName name="t_2">'[1]Exposure Parameters'!$D$26</definedName>
    <definedName name="t_avg">'[1]Exposure Parameters'!$D$27</definedName>
    <definedName name="T_SPF">'Release Parameters'!$D$23</definedName>
    <definedName name="TEMP">'Release Parameters'!$D$13</definedName>
    <definedName name="TIME_operating_days">'[4]Release Parameters'!$D$21</definedName>
    <definedName name="TIME_operating_days_company">'Release Parameters'!$D$19</definedName>
    <definedName name="TIME_operating_days_site">'Release Parameters'!$D$20</definedName>
    <definedName name="TIMEoperating_days_contractor">'Release Parameters'!$D$33</definedName>
    <definedName name="Torr_per_atm">'Release Parameters'!$D$36</definedName>
    <definedName name="Total_air">'[6]Release Calcs'!$E$15</definedName>
    <definedName name="Total_water">'[6]Release Calcs'!$E$16</definedName>
    <definedName name="V_cont_empty">'[2]Release Parameters'!$D$32</definedName>
    <definedName name="V_container">'Release Parameters'!$D$25</definedName>
    <definedName name="V_ff">'[1]Exposure Parameters'!$D$35</definedName>
    <definedName name="V_importcont">'[6]Release Parameters'!$L$9</definedName>
    <definedName name="V_NF">'[1]Exposure Calcs'!$E$12</definedName>
    <definedName name="V_smallcont">'[6]Release Parameters'!$L$10</definedName>
    <definedName name="VP">'Release Parameters'!$D$17</definedName>
    <definedName name="VP_torr">'[2]Release Parameters'!$D$20</definedName>
    <definedName name="VP_Trans12DCE">'[6]Release Parameters'!$D$23</definedName>
    <definedName name="Vwastewater">'[4]Release Parameters'!$L$9</definedName>
    <definedName name="Weeks_year">'[1]Exposure Parameters'!$D$38</definedName>
    <definedName name="what">#REF!</definedName>
    <definedName name="WSchem">'[4]Release Parameters'!$D$26</definedName>
    <definedName name="WY_50th">#REF!</definedName>
    <definedName name="WY_50th_DC">#REF!</definedName>
    <definedName name="WY_95th">#REF!</definedName>
    <definedName name="WY_95th_DC">#REF!</definedName>
    <definedName name="WY_chronic">'[1]Baseline Exposure Results'!$D$21</definedName>
    <definedName name="WY_high" localSheetId="0">#REF!</definedName>
    <definedName name="WY_high">'[3]List Values'!$K$34</definedName>
    <definedName name="WY_mid" localSheetId="0">#REF!</definedName>
    <definedName name="WY_mid">'[3]List Values'!$K$33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2" l="1"/>
  <c r="C6" i="15"/>
  <c r="E54" i="2" a="1"/>
  <c r="E54" i="2" s="1"/>
  <c r="E55" i="2" a="1"/>
  <c r="E55" i="2" s="1"/>
  <c r="E56" i="2" a="1"/>
  <c r="E56" i="2" s="1"/>
  <c r="E57" i="2" a="1"/>
  <c r="E57" i="2" s="1"/>
  <c r="E58" i="2" a="1"/>
  <c r="E58" i="2" s="1"/>
  <c r="E59" i="2" a="1"/>
  <c r="E59" i="2" s="1"/>
  <c r="E60" i="2" a="1"/>
  <c r="E60" i="2" s="1"/>
  <c r="E61" i="2" a="1"/>
  <c r="E61" i="2" s="1"/>
  <c r="K8" i="2" a="1"/>
  <c r="K8" i="2" s="1"/>
  <c r="L8" i="2" s="1"/>
  <c r="K6" i="2"/>
  <c r="L6" i="2" s="1"/>
  <c r="E21" i="3" s="1" a="1"/>
  <c r="K26" i="12"/>
  <c r="J26" i="12"/>
  <c r="K24" i="12"/>
  <c r="J24" i="12"/>
  <c r="G26" i="12"/>
  <c r="F26" i="12"/>
  <c r="G24" i="12"/>
  <c r="K25" i="12"/>
  <c r="J25" i="12"/>
  <c r="K23" i="12"/>
  <c r="J23" i="12"/>
  <c r="G25" i="12"/>
  <c r="F25" i="12"/>
  <c r="K22" i="12"/>
  <c r="J22" i="12"/>
  <c r="G23" i="12"/>
  <c r="F23" i="12"/>
  <c r="G22" i="12"/>
  <c r="F22" i="12"/>
  <c r="E11" i="3"/>
  <c r="E14" i="3" s="1"/>
  <c r="D46" i="2"/>
  <c r="D47" i="2"/>
  <c r="D48" i="2"/>
  <c r="D49" i="2"/>
  <c r="D50" i="2"/>
  <c r="D51" i="2"/>
  <c r="D52" i="2"/>
  <c r="D45" i="2"/>
  <c r="E6" i="3"/>
  <c r="D12" i="2"/>
  <c r="B2" i="4" s="1"/>
  <c r="H7" i="2"/>
  <c r="G7" i="2"/>
  <c r="E7" i="2"/>
  <c r="F25" i="4" a="1"/>
  <c r="F24" i="4" a="1"/>
  <c r="F23" i="4" a="1"/>
  <c r="F22" i="4" a="1"/>
  <c r="F21" i="4" a="1"/>
  <c r="F20" i="4" a="1"/>
  <c r="F19" i="4" a="1"/>
  <c r="E45" i="2" a="1"/>
  <c r="K9" i="2" a="1"/>
  <c r="E9" i="3" l="1"/>
  <c r="F19" i="4"/>
  <c r="F20" i="4"/>
  <c r="F21" i="4"/>
  <c r="F22" i="4"/>
  <c r="F23" i="4"/>
  <c r="F24" i="4"/>
  <c r="F25" i="4"/>
  <c r="K9" i="2"/>
  <c r="L9" i="2" s="1"/>
  <c r="E45" i="2"/>
  <c r="D43" i="2" s="1" a="1"/>
  <c r="E21" i="3"/>
  <c r="E22" i="3" s="1" a="1"/>
  <c r="K7" i="2" a="1"/>
  <c r="K7" i="2" s="1"/>
  <c r="L7" i="2" s="1"/>
  <c r="D43" i="4" a="1"/>
  <c r="D48" i="4" a="1"/>
  <c r="D44" i="4" a="1"/>
  <c r="D49" i="4" a="1"/>
  <c r="D46" i="4" a="1"/>
  <c r="D47" i="4" a="1"/>
  <c r="D45" i="4" a="1"/>
  <c r="D42" i="2" l="1" a="1"/>
  <c r="D42" i="2" s="1"/>
  <c r="E5" i="3" s="1"/>
  <c r="D44" i="4"/>
  <c r="D46" i="4"/>
  <c r="D48" i="4"/>
  <c r="E22" i="3"/>
  <c r="D43" i="4"/>
  <c r="D45" i="4"/>
  <c r="D47" i="4"/>
  <c r="D49" i="4"/>
  <c r="D43" i="2"/>
  <c r="D34" i="4" a="1"/>
  <c r="D40" i="4" a="1"/>
  <c r="D39" i="4" a="1"/>
  <c r="D35" i="4" a="1"/>
  <c r="D36" i="4" a="1"/>
  <c r="D37" i="4" a="1"/>
  <c r="D38" i="4" a="1"/>
  <c r="D34" i="4" l="1"/>
  <c r="D36" i="4"/>
  <c r="D38" i="4"/>
  <c r="D40" i="4"/>
  <c r="D35" i="4"/>
  <c r="D37" i="4"/>
  <c r="D39" i="4"/>
  <c r="E12" i="3"/>
  <c r="E13" i="3" s="1"/>
  <c r="E19" i="3" s="1" a="1"/>
  <c r="E7" i="3"/>
  <c r="E25" i="3" s="1" a="1"/>
  <c r="E8" i="3"/>
  <c r="F10" i="4" a="1"/>
  <c r="I16" i="4" a="1"/>
  <c r="I19" i="4" a="1"/>
  <c r="F11" i="4" a="1"/>
  <c r="I20" i="4" a="1"/>
  <c r="F12" i="4" a="1"/>
  <c r="I10" i="4" a="1"/>
  <c r="I24" i="4" a="1"/>
  <c r="F16" i="4" a="1"/>
  <c r="I21" i="4" a="1"/>
  <c r="F13" i="4" a="1"/>
  <c r="I11" i="4" a="1"/>
  <c r="I12" i="4" a="1"/>
  <c r="I23" i="4" a="1"/>
  <c r="F15" i="4" a="1"/>
  <c r="I13" i="4" a="1"/>
  <c r="I14" i="4" a="1"/>
  <c r="I25" i="4" a="1"/>
  <c r="I22" i="4" a="1"/>
  <c r="F14" i="4" a="1"/>
  <c r="I15" i="4" a="1"/>
  <c r="E23" i="3" l="1" a="1"/>
  <c r="E23" i="3" s="1"/>
  <c r="E24" i="3" s="1" a="1"/>
  <c r="E27" i="3" a="1"/>
  <c r="E27" i="3" s="1"/>
  <c r="E28" i="3" s="1" a="1"/>
  <c r="E17" i="3" a="1"/>
  <c r="E17" i="3" s="1"/>
  <c r="E18" i="3" s="1" a="1"/>
  <c r="E19" i="3"/>
  <c r="E20" i="3" s="1" a="1"/>
  <c r="I16" i="4"/>
  <c r="I15" i="4"/>
  <c r="I14" i="4"/>
  <c r="I13" i="4"/>
  <c r="I12" i="4"/>
  <c r="I11" i="4"/>
  <c r="I10" i="4"/>
  <c r="E25" i="3"/>
  <c r="E26" i="3" s="1" a="1"/>
  <c r="F16" i="4"/>
  <c r="F15" i="4"/>
  <c r="F14" i="4"/>
  <c r="F13" i="4"/>
  <c r="F12" i="4"/>
  <c r="F11" i="4"/>
  <c r="F10" i="4"/>
  <c r="I25" i="4"/>
  <c r="I24" i="4"/>
  <c r="I23" i="4"/>
  <c r="I22" i="4"/>
  <c r="I21" i="4"/>
  <c r="I20" i="4"/>
  <c r="I19" i="4"/>
  <c r="E16" i="3"/>
  <c r="E15" i="3"/>
  <c r="E43" i="4" a="1"/>
  <c r="G47" i="4" a="1"/>
  <c r="F47" i="4" a="1"/>
  <c r="C45" i="4" a="1"/>
  <c r="F45" i="4" a="1"/>
  <c r="E46" i="4" a="1"/>
  <c r="B45" i="4" a="1"/>
  <c r="G45" i="4" a="1"/>
  <c r="C43" i="4" a="1"/>
  <c r="F43" i="4" a="1"/>
  <c r="E44" i="4" a="1"/>
  <c r="B43" i="4" a="1"/>
  <c r="G43" i="4" a="1"/>
  <c r="F48" i="4" a="1"/>
  <c r="B48" i="4" a="1"/>
  <c r="G49" i="4" a="1"/>
  <c r="C47" i="4" a="1"/>
  <c r="B47" i="4" a="1"/>
  <c r="C48" i="4" a="1"/>
  <c r="F46" i="4" a="1"/>
  <c r="E49" i="4" a="1"/>
  <c r="B46" i="4" a="1"/>
  <c r="G48" i="4" a="1"/>
  <c r="G44" i="4" a="1"/>
  <c r="F49" i="4" a="1"/>
  <c r="E48" i="4" a="1"/>
  <c r="C46" i="4" a="1"/>
  <c r="F44" i="4" a="1"/>
  <c r="E47" i="4" a="1"/>
  <c r="B44" i="4" a="1"/>
  <c r="G46" i="4" a="1"/>
  <c r="C44" i="4" a="1"/>
  <c r="E45" i="4" a="1"/>
  <c r="C49" i="4" a="1"/>
  <c r="B49" i="4" a="1"/>
  <c r="E29" i="3" l="1"/>
  <c r="E30" i="3" s="1"/>
  <c r="G43" i="4"/>
  <c r="G45" i="4"/>
  <c r="G47" i="4"/>
  <c r="G49" i="4"/>
  <c r="G44" i="4"/>
  <c r="G46" i="4"/>
  <c r="G48" i="4"/>
  <c r="E28" i="3"/>
  <c r="B43" i="4"/>
  <c r="B45" i="4"/>
  <c r="B47" i="4"/>
  <c r="B49" i="4"/>
  <c r="E18" i="3"/>
  <c r="B44" i="4"/>
  <c r="B46" i="4"/>
  <c r="B48" i="4"/>
  <c r="E44" i="4"/>
  <c r="E46" i="4"/>
  <c r="E48" i="4"/>
  <c r="E43" i="4"/>
  <c r="E45" i="4"/>
  <c r="E47" i="4"/>
  <c r="E49" i="4"/>
  <c r="E24" i="3"/>
  <c r="F43" i="4"/>
  <c r="F45" i="4"/>
  <c r="F47" i="4"/>
  <c r="F49" i="4"/>
  <c r="E26" i="3"/>
  <c r="F44" i="4"/>
  <c r="F46" i="4"/>
  <c r="F48" i="4"/>
  <c r="C43" i="4"/>
  <c r="C45" i="4"/>
  <c r="C47" i="4"/>
  <c r="C49" i="4"/>
  <c r="C44" i="4"/>
  <c r="C46" i="4"/>
  <c r="C48" i="4"/>
  <c r="E20" i="3"/>
  <c r="E31" i="3"/>
  <c r="B19" i="4" a="1"/>
  <c r="C40" i="4" a="1"/>
  <c r="B38" i="4" a="1"/>
  <c r="B12" i="4" a="1"/>
  <c r="C22" i="4" a="1"/>
  <c r="F39" i="4" a="1"/>
  <c r="G37" i="4" a="1"/>
  <c r="C39" i="4" a="1"/>
  <c r="F40" i="4" a="1"/>
  <c r="E36" i="4" a="1"/>
  <c r="C20" i="4" a="1"/>
  <c r="B40" i="4" a="1"/>
  <c r="E39" i="4" a="1"/>
  <c r="C38" i="4" a="1"/>
  <c r="B36" i="4" a="1"/>
  <c r="B13" i="4" a="1"/>
  <c r="C23" i="4" a="1"/>
  <c r="F37" i="4" a="1"/>
  <c r="G35" i="4" a="1"/>
  <c r="F35" i="4" a="1"/>
  <c r="B24" i="4" a="1"/>
  <c r="C34" i="4" a="1"/>
  <c r="B39" i="4" a="1"/>
  <c r="C25" i="4" a="1"/>
  <c r="B23" i="4" a="1"/>
  <c r="B37" i="4" a="1"/>
  <c r="B16" i="4" a="1"/>
  <c r="C35" i="4" a="1"/>
  <c r="E34" i="4" a="1"/>
  <c r="G39" i="4" a="1"/>
  <c r="B25" i="4" a="1"/>
  <c r="E37" i="4" a="1"/>
  <c r="C36" i="4" a="1"/>
  <c r="B34" i="4" a="1"/>
  <c r="B14" i="4" a="1"/>
  <c r="C24" i="4" a="1"/>
  <c r="E35" i="4" a="1"/>
  <c r="B15" i="4" a="1"/>
  <c r="G40" i="4" a="1"/>
  <c r="E40" i="4" a="1"/>
  <c r="G38" i="4" a="1"/>
  <c r="B10" i="4" a="1"/>
  <c r="G34" i="4" a="1"/>
  <c r="B11" i="4" a="1"/>
  <c r="F34" i="4" a="1"/>
  <c r="B22" i="4" a="1"/>
  <c r="E38" i="4" a="1"/>
  <c r="C37" i="4" a="1"/>
  <c r="B35" i="4" a="1"/>
  <c r="C19" i="4" a="1"/>
  <c r="F38" i="4" a="1"/>
  <c r="G36" i="4" a="1"/>
  <c r="B21" i="4" a="1"/>
  <c r="F36" i="4" a="1"/>
  <c r="B20" i="4" a="1"/>
  <c r="C21" i="4" a="1"/>
  <c r="B19" i="4" l="1"/>
  <c r="B20" i="4"/>
  <c r="B21" i="4"/>
  <c r="B22" i="4"/>
  <c r="B23" i="4"/>
  <c r="B24" i="4"/>
  <c r="B25" i="4"/>
  <c r="G35" i="4"/>
  <c r="G37" i="4"/>
  <c r="G39" i="4"/>
  <c r="G34" i="4"/>
  <c r="G36" i="4"/>
  <c r="G38" i="4"/>
  <c r="G40" i="4"/>
  <c r="F35" i="4"/>
  <c r="F37" i="4"/>
  <c r="F39" i="4"/>
  <c r="F34" i="4"/>
  <c r="F36" i="4"/>
  <c r="F38" i="4"/>
  <c r="F40" i="4"/>
  <c r="C25" i="4"/>
  <c r="C24" i="4"/>
  <c r="C23" i="4"/>
  <c r="C22" i="4"/>
  <c r="C21" i="4"/>
  <c r="C20" i="4"/>
  <c r="C19" i="4"/>
  <c r="B16" i="4"/>
  <c r="B15" i="4"/>
  <c r="B14" i="4"/>
  <c r="B13" i="4"/>
  <c r="B12" i="4"/>
  <c r="B11" i="4"/>
  <c r="B10" i="4"/>
  <c r="B35" i="4"/>
  <c r="B37" i="4"/>
  <c r="B39" i="4"/>
  <c r="B34" i="4"/>
  <c r="B36" i="4"/>
  <c r="B38" i="4"/>
  <c r="B40" i="4"/>
  <c r="C35" i="4"/>
  <c r="C37" i="4"/>
  <c r="C39" i="4"/>
  <c r="C34" i="4"/>
  <c r="C36" i="4"/>
  <c r="C38" i="4"/>
  <c r="C40" i="4"/>
  <c r="E34" i="4"/>
  <c r="E36" i="4"/>
  <c r="E38" i="4"/>
  <c r="E40" i="4"/>
  <c r="E35" i="4"/>
  <c r="E37" i="4"/>
  <c r="E39" i="4"/>
  <c r="E32" i="3"/>
  <c r="C11" i="4" a="1"/>
  <c r="C12" i="4" a="1"/>
  <c r="C13" i="4" a="1"/>
  <c r="C15" i="4" a="1"/>
  <c r="C16" i="4" a="1"/>
  <c r="C10" i="4" a="1"/>
  <c r="C14" i="4" a="1"/>
  <c r="C16" i="4" l="1"/>
  <c r="C15" i="4"/>
  <c r="C14" i="4"/>
  <c r="C13" i="4"/>
  <c r="C12" i="4"/>
  <c r="C11" i="4"/>
  <c r="C10"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<sst xmlns="http://schemas.openxmlformats.org/spreadsheetml/2006/main" count="707" uniqueCount="370">
  <si>
    <t>PUBLIC RELEASE DRAFT</t>
  </si>
  <si>
    <t>Instructions for Using this Spreadsheet</t>
  </si>
  <si>
    <t>Table of Contents</t>
  </si>
  <si>
    <t>Worksheet</t>
  </si>
  <si>
    <t>Description</t>
  </si>
  <si>
    <t>Release Point Summary</t>
  </si>
  <si>
    <t>Summarizes the Release Points and associated parameters used to calculate the amount of annual release from each Release Point</t>
  </si>
  <si>
    <t>Product Selector Data</t>
  </si>
  <si>
    <t>Trans-1,2-dichloroethylene Concentration and Product Density information associated with identified products containing trans-1,2-dichloroethylene are utilized for this spreadsheet. Data from this sheet informed the values entered into the "Release Parameters" worksheet.</t>
  </si>
  <si>
    <t>Release Parameters</t>
  </si>
  <si>
    <t>A list of parameters for the release calculations. Allows an advanced user to select between performing a deterministic or Monte Carlo simulation. Monte Carlo formulas on this worksheet are based on the Monte Carlo simulator @Risk. Certain cells will appear with the "#NAME?" error indicator if a user does not have the program @Risk. The user must not alter parameters in this worksheet. Turn Monte Carlo "Off" using the toggle at the top of the sheet to view deterministic calculations (@Risk not needed for this).</t>
  </si>
  <si>
    <t>Release Calcs</t>
  </si>
  <si>
    <t>Performs the release calculations. This worksheet contains @Risk formulas to capture results during a Monte Carlo simulation iteration. Certain cells will appear with the "#NAME?" error indicator if a user does not have the program @Risk. The user must not alter this worksheet.</t>
  </si>
  <si>
    <t>Release Results</t>
  </si>
  <si>
    <t>Provides the release results for the baseline scenario from the Monte Carlo simulation. The user must not alter this worksheet.</t>
  </si>
  <si>
    <t>Static Release Results</t>
  </si>
  <si>
    <t>Provides static release results from running the simulation with the specified parameters for the given scenario. @Risk not needed to view.</t>
  </si>
  <si>
    <t>NAICS Codes</t>
  </si>
  <si>
    <t xml:space="preserve">Provides full list of NAICS codes, descriptions, and establishments associated with this OES. </t>
  </si>
  <si>
    <t>General Notes/Assumptions</t>
  </si>
  <si>
    <t>Applied GS on the Application of Spray Polyurethane Foam Insulation and product data from identified products to assess releases of trans-1,2-dichloroethylene.</t>
  </si>
  <si>
    <t xml:space="preserve">The air speed for this release simulation was calculate using EPA's air speed model using a lognormal distribution. The GS assumes spray polyurethane operations occur indoors with an air speed &lt;=100 ft/min so the air speed distribution was capped at 100 ft/min. </t>
  </si>
  <si>
    <r>
      <t>When considering both release and exposure estimates, the GS assumes the application area per job site (A</t>
    </r>
    <r>
      <rPr>
        <vertAlign val="subscript"/>
        <sz val="11"/>
        <color theme="1"/>
        <rFont val="Calibri"/>
        <family val="2"/>
        <scheme val="minor"/>
      </rPr>
      <t>app_site</t>
    </r>
    <r>
      <rPr>
        <sz val="11"/>
        <color theme="1"/>
        <rFont val="Calibri"/>
        <family val="2"/>
        <scheme val="minor"/>
      </rPr>
      <t>) to be 1,560 ft^2, the mass fraction of chemical in the A or B-side formulation (F</t>
    </r>
    <r>
      <rPr>
        <vertAlign val="subscript"/>
        <sz val="11"/>
        <color theme="1"/>
        <rFont val="Calibri"/>
        <family val="2"/>
        <scheme val="minor"/>
      </rPr>
      <t>chem_side</t>
    </r>
    <r>
      <rPr>
        <sz val="11"/>
        <color theme="1"/>
        <rFont val="Calibri"/>
        <family val="2"/>
        <scheme val="minor"/>
      </rPr>
      <t>) to be 0.25, foam density (RHO</t>
    </r>
    <r>
      <rPr>
        <vertAlign val="subscript"/>
        <sz val="11"/>
        <color theme="1"/>
        <rFont val="Calibri"/>
        <family val="2"/>
        <scheme val="minor"/>
      </rPr>
      <t>SPF</t>
    </r>
    <r>
      <rPr>
        <sz val="11"/>
        <color theme="1"/>
        <rFont val="Calibri"/>
        <family val="2"/>
        <scheme val="minor"/>
      </rPr>
      <t>) to be 2 lb/ft^3, and maximum foam thickness (T</t>
    </r>
    <r>
      <rPr>
        <vertAlign val="subscript"/>
        <sz val="11"/>
        <color theme="1"/>
        <rFont val="Calibri"/>
        <family val="2"/>
        <scheme val="minor"/>
      </rPr>
      <t>SPF</t>
    </r>
    <r>
      <rPr>
        <sz val="11"/>
        <color theme="1"/>
        <rFont val="Calibri"/>
        <family val="2"/>
        <scheme val="minor"/>
      </rPr>
      <t>) to be 0.33 ft. These are the default values used in calculating all release scenarios.</t>
    </r>
  </si>
  <si>
    <t>Release Summary - 50th and 95th Percentile estimates</t>
  </si>
  <si>
    <r>
      <rPr>
        <b/>
        <sz val="11"/>
        <color rgb="FF000000"/>
        <rFont val="Calibri"/>
        <family val="2"/>
        <scheme val="minor"/>
      </rPr>
      <t xml:space="preserve">NAICS Codes for this OES: </t>
    </r>
    <r>
      <rPr>
        <sz val="11"/>
        <color rgb="FF000000"/>
        <rFont val="Calibri"/>
        <family val="2"/>
        <scheme val="minor"/>
      </rPr>
      <t>238310, 238160, 238390, 238290</t>
    </r>
  </si>
  <si>
    <r>
      <t xml:space="preserve">Estimated Number of Facilities: </t>
    </r>
    <r>
      <rPr>
        <sz val="11"/>
        <color theme="1"/>
        <rFont val="Calibri"/>
        <family val="2"/>
        <scheme val="minor"/>
      </rPr>
      <t xml:space="preserve">1 (what-if scenario), 51,906 (BLS Industry Data) </t>
    </r>
    <r>
      <rPr>
        <vertAlign val="superscript"/>
        <sz val="11"/>
        <color theme="1"/>
        <rFont val="Calibri"/>
        <family val="2"/>
        <scheme val="minor"/>
      </rPr>
      <t>a</t>
    </r>
  </si>
  <si>
    <t>Before Release Controls</t>
  </si>
  <si>
    <t>Release Source</t>
  </si>
  <si>
    <t>Media of Release</t>
  </si>
  <si>
    <t>Number of Sites</t>
  </si>
  <si>
    <t>Daily Release (kg/site-day)</t>
  </si>
  <si>
    <t>Days per Year</t>
  </si>
  <si>
    <t>Annual Release (kg/site-yr)</t>
  </si>
  <si>
    <t>50th Percentile</t>
  </si>
  <si>
    <t>95th Percentile</t>
  </si>
  <si>
    <t>1. Transfer Operation Losses During Unloading</t>
  </si>
  <si>
    <t>Air</t>
  </si>
  <si>
    <t>2. Container Residue Losses</t>
  </si>
  <si>
    <t>Water, Hazardous Landfill or Incineration</t>
  </si>
  <si>
    <t>3. Evaporative Losses During Container Cleaning</t>
  </si>
  <si>
    <t>4. Equipment Cleaning Residue</t>
  </si>
  <si>
    <t>Hazardous Landfill or Incineration</t>
  </si>
  <si>
    <t>5. Releases During Application</t>
  </si>
  <si>
    <t>6. Trimming Wastes</t>
  </si>
  <si>
    <t>Hazardous Landfill</t>
  </si>
  <si>
    <t>Total Release</t>
  </si>
  <si>
    <t>Fugitive or stack air</t>
  </si>
  <si>
    <t>Water, Hazardous landfill, or incineration</t>
  </si>
  <si>
    <t>After Release Controls are Applied</t>
  </si>
  <si>
    <r>
      <t xml:space="preserve">Release Control Efficiency Applied </t>
    </r>
    <r>
      <rPr>
        <b/>
        <vertAlign val="superscript"/>
        <sz val="11"/>
        <color theme="1"/>
        <rFont val="Calibri"/>
        <family val="2"/>
        <scheme val="minor"/>
      </rPr>
      <t>b</t>
    </r>
  </si>
  <si>
    <t>None</t>
  </si>
  <si>
    <t>Uncertain Media (Water, Hazardous landfill, or incineration)</t>
  </si>
  <si>
    <t>If water</t>
  </si>
  <si>
    <t>If hazardous landfill</t>
  </si>
  <si>
    <t>If incineration</t>
  </si>
  <si>
    <r>
      <rPr>
        <vertAlign val="superscript"/>
        <sz val="11"/>
        <color theme="1"/>
        <rFont val="Calibri"/>
        <family val="2"/>
        <scheme val="minor"/>
      </rPr>
      <t>a</t>
    </r>
    <r>
      <rPr>
        <sz val="11"/>
        <color theme="1"/>
        <rFont val="Calibri"/>
        <family val="2"/>
        <scheme val="minor"/>
      </rPr>
      <t xml:space="preserve"> Facility count based on industry data from BLS for all potential blowing agent sites. See </t>
    </r>
    <r>
      <rPr>
        <i/>
        <sz val="11"/>
        <color theme="1"/>
        <rFont val="Calibri"/>
        <family val="2"/>
        <scheme val="minor"/>
      </rPr>
      <t>tDCE - Estimates of Workers and ONUs</t>
    </r>
    <r>
      <rPr>
        <sz val="11"/>
        <color theme="1"/>
        <rFont val="Calibri"/>
        <family val="2"/>
        <scheme val="minor"/>
      </rPr>
      <t xml:space="preserve"> spreadsheet for further details on this estimate. </t>
    </r>
  </si>
  <si>
    <r>
      <rPr>
        <vertAlign val="superscript"/>
        <sz val="11"/>
        <color theme="1"/>
        <rFont val="Calibri"/>
        <family val="2"/>
        <scheme val="minor"/>
      </rPr>
      <t>b</t>
    </r>
    <r>
      <rPr>
        <sz val="11"/>
        <color theme="1"/>
        <rFont val="Calibri"/>
        <family val="2"/>
        <scheme val="minor"/>
      </rPr>
      <t xml:space="preserve"> - Based on the 1,1,2-TCA Fate TSD, the average removal efficiency for POTWs is 73%, which closely aligns with the measured data of a pilot-scale system (70.8+/- 7.1%). It is important to note that this removal efficiency should only be applied to sites who are assumed/known to have on-site wastewater treatment or discharge to a POTW. In these cases, the water release should be noted to come from a POTW and not directly from the facility.
     - Regulations at 40 CFR part 63, Subpart EEE – National Emission Standards for Hazardous Air Pollutants from Hazardous Waste Combustors, require all hazardous waste combustors (incinerators, cement kilns, lightweight aggregate kilns, solid fuel boilers, liquid fuel boilers, and hydrochloric acid production furnaces) to achieve a DRE of 99.99 percent for each principal organic hazardous constituent (POHC) including t-DCE. It is important to note that the incineration DRE should only be applied to OES involving industrial sites and not commercial sites. </t>
    </r>
  </si>
  <si>
    <t>Product #</t>
  </si>
  <si>
    <t>Product Name</t>
  </si>
  <si>
    <t>Trans-1,2-DCE Concentration</t>
  </si>
  <si>
    <t>Product Density (kg/L)</t>
  </si>
  <si>
    <t>Low-end</t>
  </si>
  <si>
    <t>High-end</t>
  </si>
  <si>
    <t>Heatlok® XT B-side</t>
  </si>
  <si>
    <t>JM CORBOND IV Closed-cell Spray Polyurethane Foam</t>
  </si>
  <si>
    <t>Touch N Seal Quick Cure Cylinder High Yield PU Foam Sealant</t>
  </si>
  <si>
    <t>Heatlok® XT High Lift B-side</t>
  </si>
  <si>
    <t>PIPFoam 250A-CO B-Side</t>
  </si>
  <si>
    <t>PIPFoam 250A-DC B-Side</t>
  </si>
  <si>
    <t>PIPFoam 250A-FR B-Side</t>
  </si>
  <si>
    <t>R-10-011</t>
  </si>
  <si>
    <t>Release Points (from ESD/GS)</t>
  </si>
  <si>
    <t>Release Point</t>
  </si>
  <si>
    <t>Expected/Conservative Release Media</t>
  </si>
  <si>
    <t>Input Parameters:</t>
  </si>
  <si>
    <t>Saturation factor unloading</t>
  </si>
  <si>
    <r>
      <t>F</t>
    </r>
    <r>
      <rPr>
        <vertAlign val="subscript"/>
        <sz val="11"/>
        <color theme="1"/>
        <rFont val="Calibri"/>
        <family val="2"/>
        <scheme val="minor"/>
      </rPr>
      <t>saturation_unloading</t>
    </r>
  </si>
  <si>
    <t>Volume of transport container</t>
  </si>
  <si>
    <r>
      <t>V</t>
    </r>
    <r>
      <rPr>
        <vertAlign val="subscript"/>
        <sz val="11"/>
        <color theme="1"/>
        <rFont val="Calibri"/>
        <family val="2"/>
        <scheme val="minor"/>
      </rPr>
      <t>container</t>
    </r>
  </si>
  <si>
    <t>Diameter of Opening</t>
  </si>
  <si>
    <r>
      <t>D</t>
    </r>
    <r>
      <rPr>
        <vertAlign val="subscript"/>
        <sz val="11"/>
        <color theme="1"/>
        <rFont val="Calibri"/>
        <family val="2"/>
        <scheme val="minor"/>
      </rPr>
      <t>opening</t>
    </r>
  </si>
  <si>
    <t>Daily Use Rate for Chemical of Interest per Site</t>
  </si>
  <si>
    <r>
      <t>Q</t>
    </r>
    <r>
      <rPr>
        <vertAlign val="subscript"/>
        <sz val="11"/>
        <rFont val="Calibri"/>
        <family val="2"/>
        <scheme val="minor"/>
      </rPr>
      <t>Chem_Site_Day</t>
    </r>
  </si>
  <si>
    <t>Frequency of Release</t>
  </si>
  <si>
    <r>
      <t>Freq</t>
    </r>
    <r>
      <rPr>
        <vertAlign val="subscript"/>
        <sz val="11"/>
        <color theme="1"/>
        <rFont val="Calibri"/>
        <family val="2"/>
        <scheme val="minor"/>
      </rPr>
      <t>release</t>
    </r>
  </si>
  <si>
    <t>Density of chemical formulation</t>
  </si>
  <si>
    <r>
      <t>RHO</t>
    </r>
    <r>
      <rPr>
        <vertAlign val="subscript"/>
        <sz val="11"/>
        <color theme="1"/>
        <rFont val="Calibri"/>
        <family val="2"/>
        <scheme val="minor"/>
      </rPr>
      <t>formulation</t>
    </r>
  </si>
  <si>
    <r>
      <t>Freq</t>
    </r>
    <r>
      <rPr>
        <vertAlign val="subscript"/>
        <sz val="11"/>
        <rFont val="Calibri"/>
        <family val="2"/>
        <scheme val="minor"/>
      </rPr>
      <t>release</t>
    </r>
  </si>
  <si>
    <t>Fraction of Formulation Containing the Chemical of Interest Released as Residual in Process Equipment</t>
  </si>
  <si>
    <r>
      <t>F</t>
    </r>
    <r>
      <rPr>
        <vertAlign val="subscript"/>
        <sz val="11"/>
        <color theme="1"/>
        <rFont val="Calibri"/>
        <family val="2"/>
        <scheme val="minor"/>
      </rPr>
      <t>equipment_cleaning</t>
    </r>
  </si>
  <si>
    <t>Fraction of Formulation Containing the Chemical of Interest Released During Spray Application</t>
  </si>
  <si>
    <r>
      <t>F</t>
    </r>
    <r>
      <rPr>
        <vertAlign val="subscript"/>
        <sz val="11"/>
        <color theme="1"/>
        <rFont val="Calibri"/>
        <family val="2"/>
        <scheme val="minor"/>
      </rPr>
      <t>spray_release</t>
    </r>
  </si>
  <si>
    <t>Fraction of Chemical of Interest Lost During Trimming Operations</t>
  </si>
  <si>
    <r>
      <t>F</t>
    </r>
    <r>
      <rPr>
        <vertAlign val="subscript"/>
        <sz val="11"/>
        <color theme="1"/>
        <rFont val="Calibri"/>
        <family val="2"/>
        <scheme val="minor"/>
      </rPr>
      <t>trimming</t>
    </r>
  </si>
  <si>
    <t>Molecular weight of chemical</t>
  </si>
  <si>
    <r>
      <t>MW</t>
    </r>
    <r>
      <rPr>
        <vertAlign val="subscript"/>
        <sz val="11"/>
        <color theme="1"/>
        <rFont val="Calibri"/>
        <family val="2"/>
        <scheme val="minor"/>
      </rPr>
      <t>Trans12DCE</t>
    </r>
  </si>
  <si>
    <t>Mass Fraction of A or B-Side in SPF</t>
  </si>
  <si>
    <r>
      <t>F</t>
    </r>
    <r>
      <rPr>
        <vertAlign val="subscript"/>
        <sz val="11"/>
        <color theme="1"/>
        <rFont val="Calibri"/>
        <family val="2"/>
        <scheme val="minor"/>
      </rPr>
      <t>chem_Side</t>
    </r>
  </si>
  <si>
    <r>
      <t>N</t>
    </r>
    <r>
      <rPr>
        <vertAlign val="subscript"/>
        <sz val="11"/>
        <color theme="1"/>
        <rFont val="Calibri"/>
        <family val="2"/>
        <scheme val="minor"/>
      </rPr>
      <t>sites</t>
    </r>
  </si>
  <si>
    <t>Fraction of chemical remaining in container as residue</t>
  </si>
  <si>
    <r>
      <t>F</t>
    </r>
    <r>
      <rPr>
        <vertAlign val="subscript"/>
        <sz val="11"/>
        <color theme="1"/>
        <rFont val="Calibri"/>
        <family val="2"/>
        <scheme val="minor"/>
      </rPr>
      <t>container_disp</t>
    </r>
  </si>
  <si>
    <t>Operating Hours of Activity</t>
  </si>
  <si>
    <r>
      <t>OH</t>
    </r>
    <r>
      <rPr>
        <vertAlign val="subscript"/>
        <sz val="11"/>
        <color theme="1"/>
        <rFont val="Calibri"/>
        <family val="2"/>
        <scheme val="minor"/>
      </rPr>
      <t>activity</t>
    </r>
  </si>
  <si>
    <t>Number of Transport Containers Unloaded per Job Site</t>
  </si>
  <si>
    <r>
      <t>N</t>
    </r>
    <r>
      <rPr>
        <vertAlign val="subscript"/>
        <sz val="11"/>
        <rFont val="Calibri"/>
        <family val="2"/>
        <scheme val="minor"/>
      </rPr>
      <t>container_unload_site_day</t>
    </r>
  </si>
  <si>
    <t>Rate of Filling Container</t>
  </si>
  <si>
    <r>
      <t>Rate</t>
    </r>
    <r>
      <rPr>
        <vertAlign val="subscript"/>
        <sz val="11"/>
        <color theme="1"/>
        <rFont val="Calibri"/>
        <family val="2"/>
        <scheme val="minor"/>
      </rPr>
      <t>fill</t>
    </r>
  </si>
  <si>
    <t>Vapor pressure of chemical</t>
  </si>
  <si>
    <t>VP</t>
  </si>
  <si>
    <t>Air Speed</t>
  </si>
  <si>
    <r>
      <t>RATE</t>
    </r>
    <r>
      <rPr>
        <vertAlign val="subscript"/>
        <sz val="11"/>
        <color theme="1"/>
        <rFont val="Calibri"/>
        <family val="2"/>
        <scheme val="minor"/>
      </rPr>
      <t>air_speed</t>
    </r>
  </si>
  <si>
    <t>Vapor Pressure Correction Factor</t>
  </si>
  <si>
    <r>
      <t>F</t>
    </r>
    <r>
      <rPr>
        <vertAlign val="subscript"/>
        <sz val="11"/>
        <color theme="1"/>
        <rFont val="Calibri"/>
        <family val="2"/>
        <scheme val="minor"/>
      </rPr>
      <t>vapor_pressure</t>
    </r>
  </si>
  <si>
    <r>
      <t>F</t>
    </r>
    <r>
      <rPr>
        <vertAlign val="subscript"/>
        <sz val="11"/>
        <color theme="1"/>
        <rFont val="Calibri"/>
        <family val="2"/>
        <scheme val="minor"/>
      </rPr>
      <t>VP</t>
    </r>
  </si>
  <si>
    <t>Turn Monte Carlo On or Off</t>
  </si>
  <si>
    <t>On</t>
  </si>
  <si>
    <t>Input Parameter</t>
  </si>
  <si>
    <t>Symbol</t>
  </si>
  <si>
    <t>Unit</t>
  </si>
  <si>
    <t>Deterministic Values</t>
  </si>
  <si>
    <t>Uncertainty Analysis Distribution Parameters</t>
  </si>
  <si>
    <t>Distribution Type</t>
  </si>
  <si>
    <t>Selected Value (Deterministic or @Risk Formula)</t>
  </si>
  <si>
    <t>Notes/Comments</t>
  </si>
  <si>
    <t>Value</t>
  </si>
  <si>
    <t>Basis</t>
  </si>
  <si>
    <t>Lower Bound</t>
  </si>
  <si>
    <t>Upper Bound</t>
  </si>
  <si>
    <t>Mode</t>
  </si>
  <si>
    <t>@Risk Formulas</t>
  </si>
  <si>
    <t>On/Off Drop Down</t>
  </si>
  <si>
    <t>cm/s</t>
  </si>
  <si>
    <t>50th percentile</t>
  </si>
  <si>
    <t>—</t>
  </si>
  <si>
    <t>Lognormal</t>
  </si>
  <si>
    <t>Distribution using EPA's air speed model for commercial uses; converted to ft/min for model use. Note that the air speed was capped at 100 ft/min based on the GS which assumed indoor operations.</t>
  </si>
  <si>
    <t>ft/min</t>
  </si>
  <si>
    <t>Off</t>
  </si>
  <si>
    <t>Saturation Factor Unloading</t>
  </si>
  <si>
    <t>unitless</t>
  </si>
  <si>
    <t>Typical</t>
  </si>
  <si>
    <t>Triangular</t>
  </si>
  <si>
    <t>Values provided in Table B-1 of the GS on the Application of Spray Polyurethane Foam.</t>
  </si>
  <si>
    <t>kg product released/kg sprayed</t>
  </si>
  <si>
    <t>Maximum</t>
  </si>
  <si>
    <t>Uniform</t>
  </si>
  <si>
    <t>Spray Foam Insulation GS</t>
  </si>
  <si>
    <t>Constants and Unit Conversions</t>
  </si>
  <si>
    <t>Production Volume Assessed</t>
  </si>
  <si>
    <t>PV</t>
  </si>
  <si>
    <t>kg/yr</t>
  </si>
  <si>
    <t>used for calcs</t>
  </si>
  <si>
    <t>Temperature</t>
  </si>
  <si>
    <t>T</t>
  </si>
  <si>
    <t>K</t>
  </si>
  <si>
    <t>standard temperature</t>
  </si>
  <si>
    <t>Pressure (torr)</t>
  </si>
  <si>
    <t>P_torr</t>
  </si>
  <si>
    <t>torr</t>
  </si>
  <si>
    <t>standard pressure</t>
  </si>
  <si>
    <t>Pressure (atm)</t>
  </si>
  <si>
    <t>P_atm</t>
  </si>
  <si>
    <t>atm</t>
  </si>
  <si>
    <t>Gas Constant</t>
  </si>
  <si>
    <t>R</t>
  </si>
  <si>
    <t>atm-cm^3/mol-K</t>
  </si>
  <si>
    <t>Trans-1,2-DCE Vapor Pressure</t>
  </si>
  <si>
    <t>Torr</t>
  </si>
  <si>
    <t>Final Scope (mmHg)</t>
  </si>
  <si>
    <t>Trans-1,2-DCE Molecular Weight</t>
  </si>
  <si>
    <t>g/mol</t>
  </si>
  <si>
    <t>Final Scope</t>
  </si>
  <si>
    <t>Days of Operation for Commercial Contractors</t>
  </si>
  <si>
    <r>
      <t>TIME</t>
    </r>
    <r>
      <rPr>
        <vertAlign val="subscript"/>
        <sz val="11"/>
        <color theme="1"/>
        <rFont val="Calibri"/>
        <family val="2"/>
        <scheme val="minor"/>
      </rPr>
      <t>operating_days_company</t>
    </r>
  </si>
  <si>
    <t>days/yr</t>
  </si>
  <si>
    <t>Days of Operation at Job Sites</t>
  </si>
  <si>
    <r>
      <t>TIME</t>
    </r>
    <r>
      <rPr>
        <vertAlign val="subscript"/>
        <sz val="11"/>
        <color theme="1"/>
        <rFont val="Calibri"/>
        <family val="2"/>
        <scheme val="minor"/>
      </rPr>
      <t>operating_days_site</t>
    </r>
  </si>
  <si>
    <t>days/site</t>
  </si>
  <si>
    <t>Appication Area per Job Site</t>
  </si>
  <si>
    <r>
      <t>A</t>
    </r>
    <r>
      <rPr>
        <vertAlign val="subscript"/>
        <sz val="11"/>
        <color theme="1"/>
        <rFont val="Calibri"/>
        <family val="2"/>
        <scheme val="minor"/>
      </rPr>
      <t>app_site</t>
    </r>
  </si>
  <si>
    <r>
      <t>ft</t>
    </r>
    <r>
      <rPr>
        <vertAlign val="superscript"/>
        <sz val="10"/>
        <color theme="1"/>
        <rFont val="Calibri"/>
        <family val="2"/>
        <scheme val="minor"/>
      </rPr>
      <t>2</t>
    </r>
  </si>
  <si>
    <t>Foam Density</t>
  </si>
  <si>
    <r>
      <t>RHO</t>
    </r>
    <r>
      <rPr>
        <vertAlign val="subscript"/>
        <sz val="11"/>
        <color theme="1"/>
        <rFont val="Calibri"/>
        <family val="2"/>
        <scheme val="minor"/>
      </rPr>
      <t>SPF</t>
    </r>
  </si>
  <si>
    <r>
      <t>lb/ft</t>
    </r>
    <r>
      <rPr>
        <vertAlign val="superscript"/>
        <sz val="11"/>
        <color theme="1"/>
        <rFont val="Calibri"/>
        <family val="2"/>
        <scheme val="minor"/>
      </rPr>
      <t>3</t>
    </r>
  </si>
  <si>
    <t>Foam Maximum Thickness</t>
  </si>
  <si>
    <r>
      <t>T</t>
    </r>
    <r>
      <rPr>
        <vertAlign val="subscript"/>
        <sz val="11"/>
        <color theme="1"/>
        <rFont val="Calibri"/>
        <family val="2"/>
        <scheme val="minor"/>
      </rPr>
      <t>SPF</t>
    </r>
  </si>
  <si>
    <t>ft</t>
  </si>
  <si>
    <r>
      <t>F</t>
    </r>
    <r>
      <rPr>
        <vertAlign val="subscript"/>
        <sz val="11"/>
        <color theme="1"/>
        <rFont val="Calibri"/>
        <family val="2"/>
        <scheme val="minor"/>
      </rPr>
      <t>side_SPF</t>
    </r>
  </si>
  <si>
    <t>kg formulation/kg SPF</t>
  </si>
  <si>
    <t>Volume of Transport Container</t>
  </si>
  <si>
    <t>Gal</t>
  </si>
  <si>
    <t>Fraction of Chemical Remaining in Container as Residue</t>
  </si>
  <si>
    <t>kg container residue/kg formulation supplied in drums</t>
  </si>
  <si>
    <t>cm</t>
  </si>
  <si>
    <t>Surface Area of Pool Opening</t>
  </si>
  <si>
    <r>
      <t>Area</t>
    </r>
    <r>
      <rPr>
        <vertAlign val="subscript"/>
        <sz val="11"/>
        <color theme="1"/>
        <rFont val="Calibri"/>
        <family val="2"/>
        <scheme val="minor"/>
      </rPr>
      <t>opening</t>
    </r>
  </si>
  <si>
    <t>cm^2</t>
  </si>
  <si>
    <t>Container Unload Rate</t>
  </si>
  <si>
    <r>
      <t>RATE</t>
    </r>
    <r>
      <rPr>
        <vertAlign val="subscript"/>
        <sz val="11"/>
        <color theme="1"/>
        <rFont val="Calibri"/>
        <family val="2"/>
        <scheme val="minor"/>
      </rPr>
      <t>unload</t>
    </r>
  </si>
  <si>
    <t>containers/hr</t>
  </si>
  <si>
    <t>kg product released/kg holding capacity</t>
  </si>
  <si>
    <t>kg chemical released/kg trimmed</t>
  </si>
  <si>
    <t>Number of Operating Days for Contractor Companies</t>
  </si>
  <si>
    <r>
      <t>TIME</t>
    </r>
    <r>
      <rPr>
        <vertAlign val="subscript"/>
        <sz val="11"/>
        <color theme="1"/>
        <rFont val="Calibri"/>
        <family val="2"/>
        <scheme val="minor"/>
      </rPr>
      <t>operating_days_contractor</t>
    </r>
  </si>
  <si>
    <t>days/year</t>
  </si>
  <si>
    <t>cm^3/gal</t>
  </si>
  <si>
    <t>ft/cm</t>
  </si>
  <si>
    <t>Torr/atm</t>
  </si>
  <si>
    <t>kg/g</t>
  </si>
  <si>
    <t>g/kg</t>
  </si>
  <si>
    <t>kg/lb</t>
  </si>
  <si>
    <t>s/hr</t>
  </si>
  <si>
    <t>L/gal</t>
  </si>
  <si>
    <t>Mass Fraction of Trans-12-DCE in Product/VP Correction Factor</t>
  </si>
  <si>
    <r>
      <t>F</t>
    </r>
    <r>
      <rPr>
        <b/>
        <vertAlign val="subscript"/>
        <sz val="11"/>
        <color theme="1"/>
        <rFont val="Calibri"/>
        <family val="2"/>
        <scheme val="minor"/>
      </rPr>
      <t>Chem_side</t>
    </r>
  </si>
  <si>
    <t>Product Density</t>
  </si>
  <si>
    <t>rho</t>
  </si>
  <si>
    <t>kg/L</t>
  </si>
  <si>
    <t>Formulation Type ID (x)</t>
  </si>
  <si>
    <t>Occurrence; p(x)</t>
  </si>
  <si>
    <t>Sampled Formulation Type</t>
  </si>
  <si>
    <t>Formulation Type ID</t>
  </si>
  <si>
    <t xml:space="preserve">Trans-12-DCE wt% </t>
  </si>
  <si>
    <t>Sampled Trans-12-DCE wt%</t>
  </si>
  <si>
    <t>Units</t>
  </si>
  <si>
    <t>Density</t>
  </si>
  <si>
    <t>Sampled Density (kg/L)</t>
  </si>
  <si>
    <t>Calculation of Baseline Releases</t>
  </si>
  <si>
    <t>Parameter Name</t>
  </si>
  <si>
    <t>Equation</t>
  </si>
  <si>
    <t>Stochastic Value</t>
  </si>
  <si>
    <t>Mass fraction of Chemical in SPF Insulation</t>
  </si>
  <si>
    <r>
      <t>F</t>
    </r>
    <r>
      <rPr>
        <vertAlign val="subscript"/>
        <sz val="11"/>
        <rFont val="Calibri"/>
        <family val="2"/>
        <scheme val="minor"/>
      </rPr>
      <t>chem_SPF</t>
    </r>
  </si>
  <si>
    <r>
      <t>F</t>
    </r>
    <r>
      <rPr>
        <vertAlign val="subscript"/>
        <sz val="11"/>
        <rFont val="Calibri"/>
        <family val="2"/>
        <scheme val="minor"/>
      </rPr>
      <t>chem_side</t>
    </r>
    <r>
      <rPr>
        <sz val="11"/>
        <rFont val="Calibri"/>
        <family val="2"/>
        <scheme val="minor"/>
      </rPr>
      <t xml:space="preserve"> * F</t>
    </r>
    <r>
      <rPr>
        <vertAlign val="subscript"/>
        <sz val="11"/>
        <rFont val="Calibri"/>
        <family val="2"/>
        <scheme val="minor"/>
      </rPr>
      <t>side_SPF</t>
    </r>
  </si>
  <si>
    <t>kg chemical/kg SPF</t>
  </si>
  <si>
    <t>Use Rate pf SPF Insulation per Site</t>
  </si>
  <si>
    <r>
      <t>Q</t>
    </r>
    <r>
      <rPr>
        <vertAlign val="subscript"/>
        <sz val="11"/>
        <rFont val="Calibri"/>
        <family val="2"/>
        <scheme val="minor"/>
      </rPr>
      <t>SPF_site</t>
    </r>
  </si>
  <si>
    <r>
      <t>A</t>
    </r>
    <r>
      <rPr>
        <vertAlign val="subscript"/>
        <sz val="11"/>
        <rFont val="Calibri"/>
        <family val="2"/>
        <scheme val="minor"/>
      </rPr>
      <t xml:space="preserve">app_site </t>
    </r>
    <r>
      <rPr>
        <sz val="11"/>
        <rFont val="Calibri"/>
        <family val="2"/>
        <scheme val="minor"/>
      </rPr>
      <t>* RHO</t>
    </r>
    <r>
      <rPr>
        <vertAlign val="subscript"/>
        <sz val="11"/>
        <rFont val="Calibri"/>
        <family val="2"/>
        <scheme val="minor"/>
      </rPr>
      <t xml:space="preserve">SPF </t>
    </r>
    <r>
      <rPr>
        <sz val="11"/>
        <rFont val="Calibri"/>
        <family val="2"/>
        <scheme val="minor"/>
      </rPr>
      <t>* T</t>
    </r>
    <r>
      <rPr>
        <vertAlign val="subscript"/>
        <sz val="11"/>
        <rFont val="Calibri"/>
        <family val="2"/>
        <scheme val="minor"/>
      </rPr>
      <t xml:space="preserve">SPF </t>
    </r>
    <r>
      <rPr>
        <sz val="11"/>
        <rFont val="Calibri"/>
        <family val="2"/>
        <scheme val="minor"/>
      </rPr>
      <t>* kg/lb</t>
    </r>
  </si>
  <si>
    <t>kg foam/site</t>
  </si>
  <si>
    <r>
      <t>(Q</t>
    </r>
    <r>
      <rPr>
        <vertAlign val="subscript"/>
        <sz val="11"/>
        <rFont val="Calibri"/>
        <family val="2"/>
        <scheme val="minor"/>
      </rPr>
      <t>SPF_site</t>
    </r>
    <r>
      <rPr>
        <sz val="11"/>
        <rFont val="Calibri"/>
        <family val="2"/>
        <scheme val="minor"/>
      </rPr>
      <t xml:space="preserve"> * F</t>
    </r>
    <r>
      <rPr>
        <vertAlign val="subscript"/>
        <sz val="11"/>
        <rFont val="Calibri"/>
        <family val="2"/>
        <scheme val="minor"/>
      </rPr>
      <t>chem_SPF</t>
    </r>
    <r>
      <rPr>
        <sz val="11"/>
        <rFont val="Calibri"/>
        <family val="2"/>
        <scheme val="minor"/>
      </rPr>
      <t>)/TIME</t>
    </r>
    <r>
      <rPr>
        <vertAlign val="subscript"/>
        <sz val="11"/>
        <rFont val="Calibri"/>
        <family val="2"/>
        <scheme val="minor"/>
      </rPr>
      <t>operating_days_site</t>
    </r>
  </si>
  <si>
    <t>kg chemical/site-day</t>
  </si>
  <si>
    <t>Annual Use Rate for Chemical of Interest per Site</t>
  </si>
  <si>
    <r>
      <t>Q</t>
    </r>
    <r>
      <rPr>
        <vertAlign val="subscript"/>
        <sz val="11"/>
        <rFont val="Calibri"/>
        <family val="2"/>
        <scheme val="minor"/>
      </rPr>
      <t>Chem_Site_Yr</t>
    </r>
  </si>
  <si>
    <r>
      <t>Q</t>
    </r>
    <r>
      <rPr>
        <vertAlign val="subscript"/>
        <sz val="11"/>
        <rFont val="Calibri"/>
        <family val="2"/>
        <scheme val="minor"/>
      </rPr>
      <t>SPF_site</t>
    </r>
    <r>
      <rPr>
        <sz val="11"/>
        <rFont val="Calibri"/>
        <family val="2"/>
        <scheme val="minor"/>
      </rPr>
      <t xml:space="preserve"> * F</t>
    </r>
    <r>
      <rPr>
        <vertAlign val="subscript"/>
        <sz val="11"/>
        <rFont val="Calibri"/>
        <family val="2"/>
        <scheme val="minor"/>
      </rPr>
      <t>chem_SPF</t>
    </r>
  </si>
  <si>
    <t>kg chemical/site-yr</t>
  </si>
  <si>
    <t>Recalculated Daily Use Rate for Chemical of Interest per Site</t>
  </si>
  <si>
    <r>
      <t>Q</t>
    </r>
    <r>
      <rPr>
        <vertAlign val="subscript"/>
        <sz val="11"/>
        <rFont val="Calibri"/>
        <family val="2"/>
        <scheme val="minor"/>
      </rPr>
      <t>Chem_Site_Day(Recalc)</t>
    </r>
    <r>
      <rPr>
        <sz val="11"/>
        <rFont val="Calibri"/>
        <family val="2"/>
        <scheme val="minor"/>
      </rPr>
      <t xml:space="preserve"> </t>
    </r>
  </si>
  <si>
    <r>
      <t>Q</t>
    </r>
    <r>
      <rPr>
        <vertAlign val="subscript"/>
        <sz val="11"/>
        <rFont val="Calibri"/>
        <family val="2"/>
        <scheme val="minor"/>
      </rPr>
      <t>chem_yr</t>
    </r>
    <r>
      <rPr>
        <sz val="11"/>
        <rFont val="Calibri"/>
        <family val="2"/>
        <scheme val="minor"/>
      </rPr>
      <t>/N</t>
    </r>
    <r>
      <rPr>
        <vertAlign val="subscript"/>
        <sz val="11"/>
        <rFont val="Calibri"/>
        <family val="2"/>
        <scheme val="minor"/>
      </rPr>
      <t>sites</t>
    </r>
  </si>
  <si>
    <t>Number of Job Sites</t>
  </si>
  <si>
    <r>
      <t>N</t>
    </r>
    <r>
      <rPr>
        <vertAlign val="subscript"/>
        <sz val="11"/>
        <rFont val="Calibri"/>
        <family val="2"/>
        <scheme val="minor"/>
      </rPr>
      <t>sites</t>
    </r>
  </si>
  <si>
    <r>
      <t>Q</t>
    </r>
    <r>
      <rPr>
        <vertAlign val="subscript"/>
        <sz val="11"/>
        <rFont val="Calibri"/>
        <family val="2"/>
        <scheme val="minor"/>
      </rPr>
      <t>chem_yr</t>
    </r>
    <r>
      <rPr>
        <sz val="11"/>
        <rFont val="Calibri"/>
        <family val="2"/>
        <scheme val="minor"/>
      </rPr>
      <t>/(Q</t>
    </r>
    <r>
      <rPr>
        <vertAlign val="subscript"/>
        <sz val="11"/>
        <rFont val="Calibri"/>
        <family val="2"/>
        <scheme val="minor"/>
      </rPr>
      <t>chem_site_day</t>
    </r>
    <r>
      <rPr>
        <sz val="11"/>
        <rFont val="Calibri"/>
        <family val="2"/>
        <scheme val="minor"/>
      </rPr>
      <t xml:space="preserve"> * TIME</t>
    </r>
    <r>
      <rPr>
        <vertAlign val="subscript"/>
        <sz val="11"/>
        <rFont val="Calibri"/>
        <family val="2"/>
        <scheme val="minor"/>
      </rPr>
      <t>operating_days_site</t>
    </r>
    <r>
      <rPr>
        <sz val="11"/>
        <rFont val="Calibri"/>
        <family val="2"/>
        <scheme val="minor"/>
      </rPr>
      <t>)</t>
    </r>
  </si>
  <si>
    <t>sites</t>
  </si>
  <si>
    <t>Number of Contracting Companies</t>
  </si>
  <si>
    <r>
      <t>N</t>
    </r>
    <r>
      <rPr>
        <vertAlign val="subscript"/>
        <sz val="11"/>
        <rFont val="Calibri"/>
        <family val="2"/>
        <scheme val="minor"/>
      </rPr>
      <t>contractor</t>
    </r>
  </si>
  <si>
    <r>
      <t>(N</t>
    </r>
    <r>
      <rPr>
        <vertAlign val="subscript"/>
        <sz val="11"/>
        <rFont val="Calibri"/>
        <family val="2"/>
        <scheme val="minor"/>
      </rPr>
      <t xml:space="preserve">sites </t>
    </r>
    <r>
      <rPr>
        <sz val="11"/>
        <rFont val="Calibri"/>
        <family val="2"/>
        <scheme val="minor"/>
      </rPr>
      <t>* TIME</t>
    </r>
    <r>
      <rPr>
        <vertAlign val="subscript"/>
        <sz val="11"/>
        <rFont val="Calibri"/>
        <family val="2"/>
        <scheme val="minor"/>
      </rPr>
      <t>operating_days_site</t>
    </r>
    <r>
      <rPr>
        <sz val="11"/>
        <rFont val="Calibri"/>
        <family val="2"/>
        <scheme val="minor"/>
      </rPr>
      <t>)/TIME</t>
    </r>
    <r>
      <rPr>
        <vertAlign val="subscript"/>
        <sz val="11"/>
        <rFont val="Calibri"/>
        <family val="2"/>
        <scheme val="minor"/>
      </rPr>
      <t>operating_days_contractor</t>
    </r>
  </si>
  <si>
    <t>contractors</t>
  </si>
  <si>
    <r>
      <t>Q</t>
    </r>
    <r>
      <rPr>
        <vertAlign val="subscript"/>
        <sz val="11"/>
        <rFont val="Calibri"/>
        <family val="2"/>
        <scheme val="minor"/>
      </rPr>
      <t>chem_site_day(recalc)</t>
    </r>
    <r>
      <rPr>
        <sz val="11"/>
        <rFont val="Calibri"/>
        <family val="2"/>
        <scheme val="minor"/>
      </rPr>
      <t>/(F</t>
    </r>
    <r>
      <rPr>
        <vertAlign val="subscript"/>
        <sz val="11"/>
        <rFont val="Calibri"/>
        <family val="2"/>
        <scheme val="minor"/>
      </rPr>
      <t xml:space="preserve">chem_side </t>
    </r>
    <r>
      <rPr>
        <sz val="11"/>
        <rFont val="Calibri"/>
        <family val="2"/>
        <scheme val="minor"/>
      </rPr>
      <t>* V</t>
    </r>
    <r>
      <rPr>
        <vertAlign val="subscript"/>
        <sz val="11"/>
        <rFont val="Calibri"/>
        <family val="2"/>
        <scheme val="minor"/>
      </rPr>
      <t xml:space="preserve">container </t>
    </r>
    <r>
      <rPr>
        <sz val="11"/>
        <rFont val="Calibri"/>
        <family val="2"/>
        <scheme val="minor"/>
      </rPr>
      <t>* RHO</t>
    </r>
    <r>
      <rPr>
        <vertAlign val="subscript"/>
        <sz val="11"/>
        <rFont val="Calibri"/>
        <family val="2"/>
        <scheme val="minor"/>
      </rPr>
      <t xml:space="preserve">formulation </t>
    </r>
    <r>
      <rPr>
        <sz val="11"/>
        <rFont val="Calibri"/>
        <family val="2"/>
        <scheme val="minor"/>
      </rPr>
      <t>* L/gal)</t>
    </r>
  </si>
  <si>
    <t>containers</t>
  </si>
  <si>
    <r>
      <t>N</t>
    </r>
    <r>
      <rPr>
        <vertAlign val="subscript"/>
        <sz val="11"/>
        <rFont val="Calibri"/>
        <family val="2"/>
        <scheme val="minor"/>
      </rPr>
      <t>container_unload_site_yr</t>
    </r>
  </si>
  <si>
    <r>
      <t>N</t>
    </r>
    <r>
      <rPr>
        <vertAlign val="subscript"/>
        <sz val="11"/>
        <rFont val="Calibri"/>
        <family val="2"/>
        <scheme val="minor"/>
      </rPr>
      <t>container_unload_site_day</t>
    </r>
    <r>
      <rPr>
        <sz val="11"/>
        <rFont val="Calibri"/>
        <family val="2"/>
        <scheme val="minor"/>
      </rPr>
      <t xml:space="preserve"> * TIME</t>
    </r>
    <r>
      <rPr>
        <vertAlign val="subscript"/>
        <sz val="11"/>
        <rFont val="Calibri"/>
        <family val="2"/>
        <scheme val="minor"/>
      </rPr>
      <t>operating_days_site</t>
    </r>
  </si>
  <si>
    <t>Recalculated Number of Operating Days for Contractor Companies</t>
  </si>
  <si>
    <r>
      <t>TIME</t>
    </r>
    <r>
      <rPr>
        <vertAlign val="subscript"/>
        <sz val="11"/>
        <rFont val="Calibri"/>
        <family val="2"/>
        <scheme val="minor"/>
      </rPr>
      <t>operating_days_contractor(recalc)</t>
    </r>
  </si>
  <si>
    <r>
      <t>(N</t>
    </r>
    <r>
      <rPr>
        <vertAlign val="subscript"/>
        <sz val="11"/>
        <rFont val="Calibri"/>
        <family val="2"/>
        <scheme val="minor"/>
      </rPr>
      <t>sites</t>
    </r>
    <r>
      <rPr>
        <sz val="11"/>
        <rFont val="Calibri"/>
        <family val="2"/>
        <scheme val="minor"/>
      </rPr>
      <t xml:space="preserve"> * TIME</t>
    </r>
    <r>
      <rPr>
        <vertAlign val="subscript"/>
        <sz val="11"/>
        <rFont val="Calibri"/>
        <family val="2"/>
        <scheme val="minor"/>
      </rPr>
      <t>operating_days_site</t>
    </r>
    <r>
      <rPr>
        <sz val="11"/>
        <rFont val="Calibri"/>
        <family val="2"/>
        <scheme val="minor"/>
      </rPr>
      <t>)/N</t>
    </r>
    <r>
      <rPr>
        <vertAlign val="subscript"/>
        <sz val="11"/>
        <rFont val="Calibri"/>
        <family val="2"/>
        <scheme val="minor"/>
      </rPr>
      <t>contractor</t>
    </r>
  </si>
  <si>
    <r>
      <t>Lesser value of N</t>
    </r>
    <r>
      <rPr>
        <vertAlign val="subscript"/>
        <sz val="11"/>
        <rFont val="Calibri"/>
        <family val="2"/>
        <scheme val="minor"/>
      </rPr>
      <t xml:space="preserve">container_unload_site_day </t>
    </r>
    <r>
      <rPr>
        <sz val="11"/>
        <rFont val="Calibri"/>
        <family val="2"/>
        <scheme val="minor"/>
      </rPr>
      <t>and TIME</t>
    </r>
    <r>
      <rPr>
        <vertAlign val="subscript"/>
        <sz val="11"/>
        <rFont val="Calibri"/>
        <family val="2"/>
        <scheme val="minor"/>
      </rPr>
      <t>operating_days_company</t>
    </r>
  </si>
  <si>
    <t>days</t>
  </si>
  <si>
    <t>Operating Hours for the Activity</t>
  </si>
  <si>
    <r>
      <t>OH</t>
    </r>
    <r>
      <rPr>
        <vertAlign val="subscript"/>
        <sz val="11"/>
        <rFont val="Calibri"/>
        <family val="2"/>
        <scheme val="minor"/>
      </rPr>
      <t>activity</t>
    </r>
  </si>
  <si>
    <r>
      <t>N</t>
    </r>
    <r>
      <rPr>
        <vertAlign val="subscript"/>
        <sz val="11"/>
        <rFont val="Calibri"/>
        <family val="2"/>
        <scheme val="minor"/>
      </rPr>
      <t>container_unload_site_day</t>
    </r>
    <r>
      <rPr>
        <sz val="11"/>
        <rFont val="Calibri"/>
        <family val="2"/>
        <scheme val="minor"/>
      </rPr>
      <t>/RATE</t>
    </r>
    <r>
      <rPr>
        <vertAlign val="subscript"/>
        <sz val="11"/>
        <rFont val="Calibri"/>
        <family val="2"/>
        <scheme val="minor"/>
      </rPr>
      <t>unload</t>
    </r>
  </si>
  <si>
    <t>hours</t>
  </si>
  <si>
    <t>Release Point 1 daily releases per site (Unloading of Transport Containers release to air)</t>
  </si>
  <si>
    <r>
      <t>Release_Day</t>
    </r>
    <r>
      <rPr>
        <vertAlign val="subscript"/>
        <sz val="11"/>
        <rFont val="Calibri"/>
        <family val="2"/>
        <scheme val="minor"/>
      </rPr>
      <t>RP1</t>
    </r>
  </si>
  <si>
    <r>
      <t>(F</t>
    </r>
    <r>
      <rPr>
        <vertAlign val="subscript"/>
        <sz val="11"/>
        <rFont val="Calibri"/>
        <family val="2"/>
        <scheme val="minor"/>
      </rPr>
      <t xml:space="preserve">saturation_factor </t>
    </r>
    <r>
      <rPr>
        <sz val="11"/>
        <rFont val="Calibri"/>
        <family val="2"/>
        <scheme val="minor"/>
      </rPr>
      <t>* MW</t>
    </r>
    <r>
      <rPr>
        <vertAlign val="subscript"/>
        <sz val="11"/>
        <rFont val="Calibri"/>
        <family val="2"/>
        <scheme val="minor"/>
      </rPr>
      <t>chem</t>
    </r>
    <r>
      <rPr>
        <sz val="11"/>
        <rFont val="Calibri"/>
        <family val="2"/>
        <scheme val="minor"/>
      </rPr>
      <t xml:space="preserve"> * (V</t>
    </r>
    <r>
      <rPr>
        <vertAlign val="subscript"/>
        <sz val="11"/>
        <rFont val="Calibri"/>
        <family val="2"/>
        <scheme val="minor"/>
      </rPr>
      <t xml:space="preserve">container </t>
    </r>
    <r>
      <rPr>
        <sz val="11"/>
        <rFont val="Calibri"/>
        <family val="2"/>
        <scheme val="minor"/>
      </rPr>
      <t>* cm^3/gal) * (RATE</t>
    </r>
    <r>
      <rPr>
        <vertAlign val="subscript"/>
        <sz val="11"/>
        <rFont val="Calibri"/>
        <family val="2"/>
        <scheme val="minor"/>
      </rPr>
      <t>unload</t>
    </r>
    <r>
      <rPr>
        <sz val="11"/>
        <rFont val="Calibri"/>
        <family val="2"/>
        <scheme val="minor"/>
      </rPr>
      <t>/3600 sec/hr) * F</t>
    </r>
    <r>
      <rPr>
        <vertAlign val="subscript"/>
        <sz val="11"/>
        <rFont val="Calibri"/>
        <family val="2"/>
        <scheme val="minor"/>
      </rPr>
      <t xml:space="preserve">correction_factor </t>
    </r>
    <r>
      <rPr>
        <sz val="11"/>
        <rFont val="Calibri"/>
        <family val="2"/>
        <scheme val="minor"/>
      </rPr>
      <t>* (VP</t>
    </r>
    <r>
      <rPr>
        <vertAlign val="subscript"/>
        <sz val="11"/>
        <rFont val="Calibri"/>
        <family val="2"/>
        <scheme val="minor"/>
      </rPr>
      <t>chem</t>
    </r>
    <r>
      <rPr>
        <sz val="11"/>
        <rFont val="Calibri"/>
        <family val="2"/>
        <scheme val="minor"/>
      </rPr>
      <t>/760 torr/atm))/(R * TEMP</t>
    </r>
    <r>
      <rPr>
        <vertAlign val="subscript"/>
        <sz val="11"/>
        <rFont val="Calibri"/>
        <family val="2"/>
        <scheme val="minor"/>
      </rPr>
      <t>ambient</t>
    </r>
    <r>
      <rPr>
        <sz val="11"/>
        <rFont val="Calibri"/>
        <family val="2"/>
        <scheme val="minor"/>
      </rPr>
      <t>) * (TIME</t>
    </r>
    <r>
      <rPr>
        <vertAlign val="subscript"/>
        <sz val="11"/>
        <rFont val="Calibri"/>
        <family val="2"/>
        <scheme val="minor"/>
      </rPr>
      <t>activity_hours</t>
    </r>
    <r>
      <rPr>
        <sz val="11"/>
        <rFont val="Calibri"/>
        <family val="2"/>
        <scheme val="minor"/>
      </rPr>
      <t xml:space="preserve"> * s/hr * kg/g)</t>
    </r>
  </si>
  <si>
    <t>kg/site-day</t>
  </si>
  <si>
    <t>Release Point 1 annual release per site (Unloading of Transport Containers release to air)</t>
  </si>
  <si>
    <r>
      <t>Release_Year</t>
    </r>
    <r>
      <rPr>
        <vertAlign val="subscript"/>
        <sz val="11"/>
        <rFont val="Calibri"/>
        <family val="2"/>
        <scheme val="minor"/>
      </rPr>
      <t>RP1</t>
    </r>
  </si>
  <si>
    <r>
      <t>Release_Day</t>
    </r>
    <r>
      <rPr>
        <vertAlign val="subscript"/>
        <sz val="11"/>
        <rFont val="Calibri"/>
        <family val="2"/>
        <scheme val="minor"/>
      </rPr>
      <t xml:space="preserve">RP1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</si>
  <si>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kg/site-yr</t>
  </si>
  <si>
    <t>Release Point 2 daily releases per site (Container Residue Losses release to wastewater treatment, incineration, or landfill)</t>
  </si>
  <si>
    <r>
      <t>Release_Day</t>
    </r>
    <r>
      <rPr>
        <vertAlign val="subscript"/>
        <sz val="11"/>
        <rFont val="Calibri"/>
        <family val="2"/>
        <scheme val="minor"/>
      </rPr>
      <t>RP2</t>
    </r>
  </si>
  <si>
    <r>
      <t>(If N</t>
    </r>
    <r>
      <rPr>
        <vertAlign val="subscript"/>
        <sz val="11"/>
        <rFont val="Calibri"/>
        <family val="2"/>
        <scheme val="minor"/>
      </rPr>
      <t>container_unload_site_yr</t>
    </r>
    <r>
      <rPr>
        <sz val="11"/>
        <rFont val="Calibri"/>
        <family val="2"/>
        <scheme val="minor"/>
      </rPr>
      <t xml:space="preserve"> &lt; TIME</t>
    </r>
    <r>
      <rPr>
        <vertAlign val="subscript"/>
        <sz val="11"/>
        <rFont val="Calibri"/>
        <family val="2"/>
        <scheme val="minor"/>
      </rPr>
      <t>operating_days_site</t>
    </r>
    <r>
      <rPr>
        <sz val="11"/>
        <rFont val="Calibri"/>
        <family val="2"/>
        <scheme val="minor"/>
      </rPr>
      <t>)
V</t>
    </r>
    <r>
      <rPr>
        <vertAlign val="subscript"/>
        <sz val="11"/>
        <rFont val="Calibri"/>
        <family val="2"/>
        <scheme val="minor"/>
      </rPr>
      <t xml:space="preserve">container </t>
    </r>
    <r>
      <rPr>
        <sz val="11"/>
        <rFont val="Calibri"/>
        <family val="2"/>
        <scheme val="minor"/>
      </rPr>
      <t>* RHO</t>
    </r>
    <r>
      <rPr>
        <vertAlign val="subscript"/>
        <sz val="11"/>
        <rFont val="Calibri"/>
        <family val="2"/>
        <scheme val="minor"/>
      </rPr>
      <t xml:space="preserve">formulation </t>
    </r>
    <r>
      <rPr>
        <sz val="11"/>
        <rFont val="Calibri"/>
        <family val="2"/>
        <scheme val="minor"/>
      </rPr>
      <t>* F</t>
    </r>
    <r>
      <rPr>
        <vertAlign val="subscript"/>
        <sz val="11"/>
        <rFont val="Calibri"/>
        <family val="2"/>
        <scheme val="minor"/>
      </rPr>
      <t xml:space="preserve">chem_side </t>
    </r>
    <r>
      <rPr>
        <sz val="11"/>
        <rFont val="Calibri"/>
        <family val="2"/>
        <scheme val="minor"/>
      </rPr>
      <t>* F</t>
    </r>
    <r>
      <rPr>
        <vertAlign val="subscript"/>
        <sz val="11"/>
        <rFont val="Calibri"/>
        <family val="2"/>
        <scheme val="minor"/>
      </rPr>
      <t xml:space="preserve">container_disp </t>
    </r>
    <r>
      <rPr>
        <sz val="11"/>
        <rFont val="Calibri"/>
        <family val="2"/>
        <scheme val="minor"/>
      </rPr>
      <t>* N</t>
    </r>
    <r>
      <rPr>
        <vertAlign val="subscript"/>
        <sz val="11"/>
        <rFont val="Calibri"/>
        <family val="2"/>
        <scheme val="minor"/>
      </rPr>
      <t>container_unload_site_day</t>
    </r>
    <r>
      <rPr>
        <sz val="11"/>
        <rFont val="Calibri"/>
        <family val="2"/>
        <scheme val="minor"/>
      </rPr>
      <t xml:space="preserve">
(If N</t>
    </r>
    <r>
      <rPr>
        <vertAlign val="subscript"/>
        <sz val="11"/>
        <rFont val="Calibri"/>
        <family val="2"/>
        <scheme val="minor"/>
      </rPr>
      <t>container_unload_site_yr</t>
    </r>
    <r>
      <rPr>
        <sz val="11"/>
        <rFont val="Calibri"/>
        <family val="2"/>
        <scheme val="minor"/>
      </rPr>
      <t xml:space="preserve"> &gt; TIME</t>
    </r>
    <r>
      <rPr>
        <vertAlign val="subscript"/>
        <sz val="11"/>
        <rFont val="Calibri"/>
        <family val="2"/>
        <scheme val="minor"/>
      </rPr>
      <t>operating_days_site</t>
    </r>
    <r>
      <rPr>
        <sz val="11"/>
        <rFont val="Calibri"/>
        <family val="2"/>
        <scheme val="minor"/>
      </rPr>
      <t>)
Q</t>
    </r>
    <r>
      <rPr>
        <vertAlign val="subscript"/>
        <sz val="11"/>
        <rFont val="Calibri"/>
        <family val="2"/>
        <scheme val="minor"/>
      </rPr>
      <t xml:space="preserve">chem_site_day </t>
    </r>
    <r>
      <rPr>
        <sz val="11"/>
        <rFont val="Calibri"/>
        <family val="2"/>
        <scheme val="minor"/>
      </rPr>
      <t>* F</t>
    </r>
    <r>
      <rPr>
        <vertAlign val="subscript"/>
        <sz val="11"/>
        <rFont val="Calibri"/>
        <family val="2"/>
        <scheme val="minor"/>
      </rPr>
      <t>container_disp</t>
    </r>
  </si>
  <si>
    <t>Release Point 2 annual release per site (Container Residue Losses release to wastewater treatment, incineration, or landfill)</t>
  </si>
  <si>
    <r>
      <t>Release_Year</t>
    </r>
    <r>
      <rPr>
        <vertAlign val="subscript"/>
        <sz val="11"/>
        <rFont val="Calibri"/>
        <family val="2"/>
        <scheme val="minor"/>
      </rPr>
      <t>RP2</t>
    </r>
  </si>
  <si>
    <r>
      <t>Release_Day</t>
    </r>
    <r>
      <rPr>
        <vertAlign val="subscript"/>
        <sz val="11"/>
        <rFont val="Calibri"/>
        <family val="2"/>
        <scheme val="minor"/>
      </rPr>
      <t xml:space="preserve">RP2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</si>
  <si>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Release Point 3 daily releases per site (Open Surface Losses to Air During Container Cleaning)</t>
  </si>
  <si>
    <r>
      <t>Release_Day</t>
    </r>
    <r>
      <rPr>
        <vertAlign val="subscript"/>
        <sz val="11"/>
        <rFont val="Calibri"/>
        <family val="2"/>
        <scheme val="minor"/>
      </rPr>
      <t>RP3</t>
    </r>
  </si>
  <si>
    <r>
      <t>Penetration Model (if air speed &lt;= 100 ft/min):
[[(8.24E-8 * (MW</t>
    </r>
    <r>
      <rPr>
        <vertAlign val="subscript"/>
        <sz val="11"/>
        <rFont val="Calibri"/>
        <family val="2"/>
        <scheme val="minor"/>
      </rPr>
      <t>Trans-12-DCE</t>
    </r>
    <r>
      <rPr>
        <sz val="11"/>
        <rFont val="Calibri"/>
        <family val="2"/>
        <scheme val="minor"/>
      </rPr>
      <t>^0.835) * VP * ((1/29+1/MW</t>
    </r>
    <r>
      <rPr>
        <vertAlign val="subscript"/>
        <sz val="11"/>
        <rFont val="Calibri"/>
        <family val="2"/>
        <scheme val="minor"/>
      </rPr>
      <t>Trans-12-DCE</t>
    </r>
    <r>
      <rPr>
        <sz val="11"/>
        <rFont val="Calibri"/>
        <family val="2"/>
        <scheme val="minor"/>
      </rPr>
      <t>)^0.25) * (RATE</t>
    </r>
    <r>
      <rPr>
        <vertAlign val="subscript"/>
        <sz val="11"/>
        <rFont val="Calibri"/>
        <family val="2"/>
        <scheme val="minor"/>
      </rPr>
      <t>air_speed</t>
    </r>
    <r>
      <rPr>
        <sz val="11"/>
        <rFont val="Calibri"/>
        <family val="2"/>
        <scheme val="minor"/>
      </rPr>
      <t>^0.5) * (0.25*pi * D</t>
    </r>
    <r>
      <rPr>
        <vertAlign val="subscript"/>
        <sz val="11"/>
        <rFont val="Calibri"/>
        <family val="2"/>
        <scheme val="minor"/>
      </rPr>
      <t>container</t>
    </r>
    <r>
      <rPr>
        <sz val="11"/>
        <rFont val="Calibri"/>
        <family val="2"/>
        <scheme val="minor"/>
      </rPr>
      <t>^2)]/(T^0.05 * D</t>
    </r>
    <r>
      <rPr>
        <vertAlign val="subscript"/>
        <sz val="11"/>
        <rFont val="Calibri"/>
        <family val="2"/>
        <scheme val="minor"/>
      </rPr>
      <t>container</t>
    </r>
    <r>
      <rPr>
        <sz val="11"/>
        <rFont val="Calibri"/>
        <family val="2"/>
        <scheme val="minor"/>
      </rPr>
      <t>^0.5 * P^0.5)] *(TIME</t>
    </r>
    <r>
      <rPr>
        <vertAlign val="subscript"/>
        <sz val="11"/>
        <rFont val="Calibri"/>
        <family val="2"/>
        <scheme val="minor"/>
      </rPr>
      <t xml:space="preserve">activity_hours  </t>
    </r>
    <r>
      <rPr>
        <sz val="11"/>
        <rFont val="Calibri"/>
        <family val="2"/>
        <scheme val="minor"/>
      </rPr>
      <t>* (3600 s/hr) * (kg/1000g))</t>
    </r>
  </si>
  <si>
    <t>Release Point 3 annual release per site (Open Surface Losses to Air During Container Cleaning)</t>
  </si>
  <si>
    <r>
      <t>Release_Year</t>
    </r>
    <r>
      <rPr>
        <vertAlign val="subscript"/>
        <sz val="11"/>
        <rFont val="Calibri"/>
        <family val="2"/>
        <scheme val="minor"/>
      </rPr>
      <t>RP3</t>
    </r>
  </si>
  <si>
    <r>
      <t>Release_Day</t>
    </r>
    <r>
      <rPr>
        <vertAlign val="subscript"/>
        <sz val="11"/>
        <rFont val="Calibri"/>
        <family val="2"/>
        <scheme val="minor"/>
      </rPr>
      <t xml:space="preserve">RP3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</si>
  <si>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Release Point 4 daily releases per site (Equipment Cleaning and Waste Solvent Disposal release to incineration or landfill)</t>
  </si>
  <si>
    <r>
      <t>Release_Day</t>
    </r>
    <r>
      <rPr>
        <vertAlign val="subscript"/>
        <sz val="11"/>
        <rFont val="Calibri"/>
        <family val="2"/>
        <scheme val="minor"/>
      </rPr>
      <t>RP4</t>
    </r>
  </si>
  <si>
    <r>
      <t>Q</t>
    </r>
    <r>
      <rPr>
        <vertAlign val="subscript"/>
        <sz val="11"/>
        <rFont val="Calibri"/>
        <family val="2"/>
        <scheme val="minor"/>
      </rPr>
      <t xml:space="preserve">chem_site_day </t>
    </r>
    <r>
      <rPr>
        <sz val="11"/>
        <rFont val="Calibri"/>
        <family val="2"/>
        <scheme val="minor"/>
      </rPr>
      <t>* F</t>
    </r>
    <r>
      <rPr>
        <vertAlign val="subscript"/>
        <sz val="11"/>
        <rFont val="Calibri"/>
        <family val="2"/>
        <scheme val="minor"/>
      </rPr>
      <t>equipment_cleaning</t>
    </r>
  </si>
  <si>
    <t>Release Point 4 annual release per site (Equipment Cleaning and Waste Solvent Disposal release to incineration or landfill)</t>
  </si>
  <si>
    <r>
      <t>Release_Year</t>
    </r>
    <r>
      <rPr>
        <vertAlign val="subscript"/>
        <sz val="11"/>
        <rFont val="Calibri"/>
        <family val="2"/>
        <scheme val="minor"/>
      </rPr>
      <t>RP4</t>
    </r>
  </si>
  <si>
    <r>
      <t>Release_Day</t>
    </r>
    <r>
      <rPr>
        <vertAlign val="subscript"/>
        <sz val="11"/>
        <rFont val="Calibri"/>
        <family val="2"/>
        <scheme val="minor"/>
      </rPr>
      <t xml:space="preserve">RP4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</si>
  <si>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Release Point 5 daily releases per site (Fugitive Emissions to Air During Application)</t>
  </si>
  <si>
    <r>
      <t>Release_Day</t>
    </r>
    <r>
      <rPr>
        <vertAlign val="subscript"/>
        <sz val="11"/>
        <rFont val="Calibri"/>
        <family val="2"/>
        <scheme val="minor"/>
      </rPr>
      <t>RP5</t>
    </r>
  </si>
  <si>
    <r>
      <t>Q</t>
    </r>
    <r>
      <rPr>
        <vertAlign val="subscript"/>
        <sz val="11"/>
        <rFont val="Calibri"/>
        <family val="2"/>
        <scheme val="minor"/>
      </rPr>
      <t>chem_site_day</t>
    </r>
    <r>
      <rPr>
        <sz val="11"/>
        <rFont val="Calibri"/>
        <family val="2"/>
        <scheme val="minor"/>
      </rPr>
      <t xml:space="preserve"> * F</t>
    </r>
    <r>
      <rPr>
        <vertAlign val="subscript"/>
        <sz val="11"/>
        <rFont val="Calibri"/>
        <family val="2"/>
        <scheme val="minor"/>
      </rPr>
      <t>spray_release</t>
    </r>
  </si>
  <si>
    <t>Release Point 5 annual release per site (Fugitive Emissions to Air During Application)</t>
  </si>
  <si>
    <r>
      <t>Release_Year</t>
    </r>
    <r>
      <rPr>
        <vertAlign val="subscript"/>
        <sz val="11"/>
        <rFont val="Calibri"/>
        <family val="2"/>
        <scheme val="minor"/>
      </rPr>
      <t>RP5</t>
    </r>
  </si>
  <si>
    <r>
      <t>Release_Day</t>
    </r>
    <r>
      <rPr>
        <vertAlign val="subscript"/>
        <sz val="11"/>
        <rFont val="Calibri"/>
        <family val="2"/>
        <scheme val="minor"/>
      </rPr>
      <t xml:space="preserve">RP5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</si>
  <si>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Release Point 6 daily releases per site (Trimming Waste to Landfill)</t>
  </si>
  <si>
    <r>
      <t>Release_Day</t>
    </r>
    <r>
      <rPr>
        <vertAlign val="subscript"/>
        <sz val="11"/>
        <rFont val="Calibri"/>
        <family val="2"/>
        <scheme val="minor"/>
      </rPr>
      <t>RP6</t>
    </r>
  </si>
  <si>
    <r>
      <t>Q</t>
    </r>
    <r>
      <rPr>
        <vertAlign val="subscript"/>
        <sz val="11"/>
        <rFont val="Calibri"/>
        <family val="2"/>
        <scheme val="minor"/>
      </rPr>
      <t>chem_site_day</t>
    </r>
    <r>
      <rPr>
        <sz val="11"/>
        <rFont val="Calibri"/>
        <family val="2"/>
        <scheme val="minor"/>
      </rPr>
      <t xml:space="preserve"> * F</t>
    </r>
    <r>
      <rPr>
        <vertAlign val="subscript"/>
        <sz val="11"/>
        <rFont val="Calibri"/>
        <family val="2"/>
        <scheme val="minor"/>
      </rPr>
      <t>trimming</t>
    </r>
  </si>
  <si>
    <t>Release Point 6 annual release per site (Trimming Waste to Landfill)</t>
  </si>
  <si>
    <r>
      <t>Release_Year</t>
    </r>
    <r>
      <rPr>
        <vertAlign val="subscript"/>
        <sz val="11"/>
        <rFont val="Calibri"/>
        <family val="2"/>
        <scheme val="minor"/>
      </rPr>
      <t>RP6</t>
    </r>
  </si>
  <si>
    <r>
      <t>Release_Day</t>
    </r>
    <r>
      <rPr>
        <vertAlign val="subscript"/>
        <sz val="11"/>
        <rFont val="Calibri"/>
        <family val="2"/>
        <scheme val="minor"/>
      </rPr>
      <t xml:space="preserve">RP6  </t>
    </r>
    <r>
      <rPr>
        <sz val="11"/>
        <rFont val="Calibri"/>
        <family val="2"/>
        <scheme val="minor"/>
      </rPr>
      <t>* TIME</t>
    </r>
    <r>
      <rPr>
        <vertAlign val="subscript"/>
        <sz val="11"/>
        <rFont val="Calibri"/>
        <family val="2"/>
        <scheme val="minor"/>
      </rPr>
      <t>operating_days_site</t>
    </r>
    <r>
      <rPr>
        <sz val="11"/>
        <rFont val="Calibri"/>
        <family val="2"/>
        <scheme val="minor"/>
      </rPr>
      <t xml:space="preserve"> * N</t>
    </r>
    <r>
      <rPr>
        <vertAlign val="subscript"/>
        <sz val="11"/>
        <rFont val="Calibri"/>
        <family val="2"/>
        <scheme val="minor"/>
      </rPr>
      <t>sites</t>
    </r>
  </si>
  <si>
    <t>Total Daily Release to fugitive or stack air</t>
  </si>
  <si>
    <t>Release_Day_Air</t>
  </si>
  <si>
    <t>Release_Day_RP1+Release_Day_RP3+Release_Day_RP5</t>
  </si>
  <si>
    <t>Total Annual Release to fugitive or stack air</t>
  </si>
  <si>
    <t>Release_Year_Air</t>
  </si>
  <si>
    <r>
      <t>Release_Day_Air * TIME</t>
    </r>
    <r>
      <rPr>
        <vertAlign val="subscript"/>
        <sz val="11"/>
        <rFont val="Calibri"/>
        <family val="2"/>
        <scheme val="minor"/>
      </rPr>
      <t xml:space="preserve">operating_days_site </t>
    </r>
    <r>
      <rPr>
        <sz val="11"/>
        <rFont val="Calibri"/>
        <family val="2"/>
        <scheme val="minor"/>
      </rPr>
      <t>* N</t>
    </r>
    <r>
      <rPr>
        <vertAlign val="subscript"/>
        <sz val="11"/>
        <rFont val="Calibri"/>
        <family val="2"/>
        <scheme val="minor"/>
      </rPr>
      <t>sites</t>
    </r>
  </si>
  <si>
    <t>Total Daily Release to water, incineration, or landfill</t>
  </si>
  <si>
    <t>Release_Day_Wat_Inc_Lan</t>
  </si>
  <si>
    <t>Release_Day_RP2+Release_Day_RP4+Release_day_RP6</t>
  </si>
  <si>
    <t>Total Annual Release to water, incineration, or landfill</t>
  </si>
  <si>
    <t>Release_Year_Wat_Inc_Lan</t>
  </si>
  <si>
    <r>
      <t>Release_Day_Wat_Inc_Lan * TIME</t>
    </r>
    <r>
      <rPr>
        <vertAlign val="subscript"/>
        <sz val="11"/>
        <rFont val="Calibri"/>
        <family val="2"/>
        <scheme val="minor"/>
      </rPr>
      <t xml:space="preserve">operating_days_site </t>
    </r>
    <r>
      <rPr>
        <sz val="11"/>
        <rFont val="Calibri"/>
        <family val="2"/>
        <scheme val="minor"/>
      </rPr>
      <t>* N</t>
    </r>
    <r>
      <rPr>
        <vertAlign val="subscript"/>
        <sz val="11"/>
        <rFont val="Calibri"/>
        <family val="2"/>
        <scheme val="minor"/>
      </rPr>
      <t>sites</t>
    </r>
  </si>
  <si>
    <t>What-If Scenario</t>
  </si>
  <si>
    <t>Production Volume Assessed (kg/yr)</t>
  </si>
  <si>
    <t>Monte Carlo Simulation Parameters</t>
  </si>
  <si>
    <t>Number of Iterations</t>
  </si>
  <si>
    <t>Sampling Method</t>
  </si>
  <si>
    <t>Latin Hypercube</t>
  </si>
  <si>
    <t>Release Media</t>
  </si>
  <si>
    <t>Total Annual Release (kg/site-yr)</t>
  </si>
  <si>
    <t>Water, Hazardous Landfill, or Incineration</t>
  </si>
  <si>
    <t>Annual Throughput of Trans-1,2-DCE (kg/site-yr)</t>
  </si>
  <si>
    <r>
      <t>Q</t>
    </r>
    <r>
      <rPr>
        <vertAlign val="subscript"/>
        <sz val="11"/>
        <rFont val="Calibri"/>
        <family val="2"/>
        <scheme val="minor"/>
      </rPr>
      <t>chem_site_yr</t>
    </r>
  </si>
  <si>
    <t>Daily Throughput Trans-1,2-DCE (kg/site-day)</t>
  </si>
  <si>
    <r>
      <t>Q</t>
    </r>
    <r>
      <rPr>
        <vertAlign val="subscript"/>
        <sz val="11"/>
        <rFont val="Calibri"/>
        <family val="2"/>
        <scheme val="minor"/>
      </rPr>
      <t>chem_site_day</t>
    </r>
  </si>
  <si>
    <t>99th Percentile</t>
  </si>
  <si>
    <t>5th Percentile</t>
  </si>
  <si>
    <t>Minimum</t>
  </si>
  <si>
    <t>Mean</t>
  </si>
  <si>
    <t>Total Release per-Day (kg/site-day)</t>
  </si>
  <si>
    <t>Number of Transport Containers Unloaded Annually per SPF Use Site (containers/site-yr)</t>
  </si>
  <si>
    <r>
      <t>N</t>
    </r>
    <r>
      <rPr>
        <vertAlign val="subscript"/>
        <sz val="11"/>
        <rFont val="Calibri"/>
        <family val="2"/>
        <scheme val="minor"/>
      </rPr>
      <t>cont_unload_yr</t>
    </r>
  </si>
  <si>
    <t>Release Point (from Generic Scenario)</t>
  </si>
  <si>
    <t>Release Day Basis</t>
  </si>
  <si>
    <t>Operating Days</t>
  </si>
  <si>
    <t>Release (kg/site-yr)</t>
  </si>
  <si>
    <r>
      <t>Release_Year</t>
    </r>
    <r>
      <rPr>
        <vertAlign val="subscript"/>
        <sz val="11"/>
        <color theme="1"/>
        <rFont val="Calibri"/>
        <family val="2"/>
        <scheme val="minor"/>
      </rPr>
      <t>RP1</t>
    </r>
  </si>
  <si>
    <r>
      <t>Release_Year</t>
    </r>
    <r>
      <rPr>
        <vertAlign val="subscript"/>
        <sz val="11"/>
        <color theme="1"/>
        <rFont val="Calibri"/>
        <family val="2"/>
        <scheme val="minor"/>
      </rPr>
      <t>RP2</t>
    </r>
  </si>
  <si>
    <r>
      <t>Release_Year</t>
    </r>
    <r>
      <rPr>
        <vertAlign val="subscript"/>
        <sz val="11"/>
        <color theme="1"/>
        <rFont val="Calibri"/>
        <family val="2"/>
        <scheme val="minor"/>
      </rPr>
      <t>RP3</t>
    </r>
    <r>
      <rPr>
        <sz val="11"/>
        <color theme="1"/>
        <rFont val="Calibri"/>
        <family val="2"/>
        <scheme val="minor"/>
      </rPr>
      <t/>
    </r>
  </si>
  <si>
    <r>
      <t>Release_Year</t>
    </r>
    <r>
      <rPr>
        <vertAlign val="subscript"/>
        <sz val="11"/>
        <color theme="1"/>
        <rFont val="Calibri"/>
        <family val="2"/>
        <scheme val="minor"/>
      </rPr>
      <t>RP4</t>
    </r>
    <r>
      <rPr>
        <sz val="11"/>
        <color theme="1"/>
        <rFont val="Calibri"/>
        <family val="2"/>
        <scheme val="minor"/>
      </rPr>
      <t/>
    </r>
  </si>
  <si>
    <r>
      <t>Release_Year</t>
    </r>
    <r>
      <rPr>
        <vertAlign val="subscript"/>
        <sz val="11"/>
        <color theme="1"/>
        <rFont val="Calibri"/>
        <family val="2"/>
        <scheme val="minor"/>
      </rPr>
      <t>RP5</t>
    </r>
    <r>
      <rPr>
        <sz val="11"/>
        <color theme="1"/>
        <rFont val="Calibri"/>
        <family val="2"/>
        <scheme val="minor"/>
      </rPr>
      <t/>
    </r>
  </si>
  <si>
    <r>
      <t>Release_Year</t>
    </r>
    <r>
      <rPr>
        <vertAlign val="subscript"/>
        <sz val="11"/>
        <color theme="1"/>
        <rFont val="Calibri"/>
        <family val="2"/>
        <scheme val="minor"/>
      </rPr>
      <t>RP6</t>
    </r>
  </si>
  <si>
    <t>Release (kg/site-day)</t>
  </si>
  <si>
    <r>
      <t>Release_per Day</t>
    </r>
    <r>
      <rPr>
        <vertAlign val="subscript"/>
        <sz val="11"/>
        <color theme="1"/>
        <rFont val="Calibri"/>
        <family val="2"/>
        <scheme val="minor"/>
      </rPr>
      <t>RP1</t>
    </r>
  </si>
  <si>
    <r>
      <t>Release_per Day</t>
    </r>
    <r>
      <rPr>
        <vertAlign val="subscript"/>
        <sz val="11"/>
        <color theme="1"/>
        <rFont val="Calibri"/>
        <family val="2"/>
        <scheme val="minor"/>
      </rPr>
      <t>RP2</t>
    </r>
  </si>
  <si>
    <r>
      <t>Release_per Day</t>
    </r>
    <r>
      <rPr>
        <vertAlign val="subscript"/>
        <sz val="11"/>
        <color theme="1"/>
        <rFont val="Calibri"/>
        <family val="2"/>
        <scheme val="minor"/>
      </rPr>
      <t>RP3</t>
    </r>
    <r>
      <rPr>
        <sz val="11"/>
        <color theme="1"/>
        <rFont val="Calibri"/>
        <family val="2"/>
        <scheme val="minor"/>
      </rPr>
      <t/>
    </r>
  </si>
  <si>
    <r>
      <t>Release_per Day</t>
    </r>
    <r>
      <rPr>
        <vertAlign val="subscript"/>
        <sz val="11"/>
        <color theme="1"/>
        <rFont val="Calibri"/>
        <family val="2"/>
        <scheme val="minor"/>
      </rPr>
      <t>RP4</t>
    </r>
    <r>
      <rPr>
        <sz val="11"/>
        <color theme="1"/>
        <rFont val="Calibri"/>
        <family val="2"/>
        <scheme val="minor"/>
      </rPr>
      <t/>
    </r>
  </si>
  <si>
    <r>
      <t>Release_per Day</t>
    </r>
    <r>
      <rPr>
        <vertAlign val="subscript"/>
        <sz val="11"/>
        <color theme="1"/>
        <rFont val="Calibri"/>
        <family val="2"/>
        <scheme val="minor"/>
      </rPr>
      <t>RP5</t>
    </r>
    <r>
      <rPr>
        <sz val="11"/>
        <color theme="1"/>
        <rFont val="Calibri"/>
        <family val="2"/>
        <scheme val="minor"/>
      </rPr>
      <t/>
    </r>
  </si>
  <si>
    <r>
      <t>Release_per Day</t>
    </r>
    <r>
      <rPr>
        <vertAlign val="subscript"/>
        <sz val="11"/>
        <color theme="1"/>
        <rFont val="Calibri"/>
        <family val="2"/>
        <scheme val="minor"/>
      </rPr>
      <t>RP6</t>
    </r>
  </si>
  <si>
    <t>NAICS Code</t>
  </si>
  <si>
    <t>NAICS Description</t>
  </si>
  <si>
    <t>Total Establishments</t>
  </si>
  <si>
    <t>Drywall and Insulation Contractors</t>
  </si>
  <si>
    <t>Roofing Contractors</t>
  </si>
  <si>
    <t>Other Building Finishing Contractors</t>
  </si>
  <si>
    <t>Other Building Equipment Contractors</t>
  </si>
  <si>
    <t>July 2026</t>
  </si>
  <si>
    <t>Release Summary</t>
  </si>
  <si>
    <t>Summarizes the results of the blowing agent in spray foam release model.</t>
  </si>
  <si>
    <t>The production volume of trans-1,2-dichloroethylene used was 11.675 kg/yr which was based on the assumption of 1 spray foam site and calculated using the daily throughput of SPF insulation per job site and multiplying it by the fraction of trans-1,2-dichloroethylene in the SPF. Note that the max concentration of trans-1,2-dichloroethylene (5%) in the SPF formulation was assumed. See calculations below:</t>
  </si>
  <si>
    <t>JULY 20206</t>
  </si>
  <si>
    <r>
      <t xml:space="preserve">Draft Blowing Agent in Spray Foam Environmental Release Model 
for </t>
    </r>
    <r>
      <rPr>
        <b/>
        <i/>
        <sz val="18"/>
        <color rgb="FF000000"/>
        <rFont val="Times New Roman"/>
        <family val="1"/>
      </rPr>
      <t>trans</t>
    </r>
    <r>
      <rPr>
        <b/>
        <sz val="18"/>
        <color rgb="FF000000"/>
        <rFont val="Times New Roman"/>
        <family val="1"/>
      </rPr>
      <t>-1,2-Dichloroethylene</t>
    </r>
  </si>
  <si>
    <t>CASRN 156-60-5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</si>
</sst>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000"/>
    <numFmt numFmtId="167" formatCode="0.0%"/>
    <numFmt numFmtId="168" formatCode="0.0000E+00"/>
    <numFmt numFmtId="169" formatCode="0.00000000"/>
    <numFmt numFmtId="170" formatCode="0.000"/>
  </numFmts>
  <fonts count="28" x14ac:knownFonts="1">
    <font>
      <sz val="11"/>
      <color theme="1"/>
      <name val="Calibri"/>
      <family val="2"/>
      <scheme val="minor"/>
    </font>
    <font>
      <sz val="11"/>
      <color theme="1"/>
      <name val="Calibri"/>
      <family val="2"/>
      <scheme val="minor"/>
    </font>
    <font>
      <b/>
      <sz val="11"/>
      <color theme="1"/>
      <name val="Calibri"/>
      <family val="2"/>
      <scheme val="minor"/>
    </font>
    <font>
      <vertAlign val="subscript"/>
      <sz val="11"/>
      <color theme="1"/>
      <name val="Calibri"/>
      <family val="2"/>
      <scheme val="minor"/>
    </font>
    <font>
      <sz val="10"/>
      <color theme="1"/>
      <name val="Calibri"/>
      <family val="2"/>
      <scheme val="minor"/>
    </font>
    <font>
      <sz val="10"/>
      <name val="Calibri"/>
      <family val="2"/>
      <scheme val="minor"/>
    </font>
    <font>
      <b/>
      <vertAlign val="subscript"/>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vertAlign val="subscript"/>
      <sz val="11"/>
      <name val="Calibri"/>
      <family val="2"/>
      <scheme val="minor"/>
    </font>
    <font>
      <sz val="8"/>
      <name val="Calibri"/>
      <family val="2"/>
      <scheme val="minor"/>
    </font>
    <font>
      <b/>
      <sz val="15"/>
      <color theme="3"/>
      <name val="Calibri"/>
      <family val="2"/>
      <scheme val="minor"/>
    </font>
    <font>
      <b/>
      <sz val="11"/>
      <color theme="3"/>
      <name val="Calibri"/>
      <family val="2"/>
      <scheme val="minor"/>
    </font>
    <font>
      <b/>
      <sz val="16"/>
      <color theme="1"/>
      <name val="Calibri"/>
      <family val="2"/>
      <scheme val="minor"/>
    </font>
    <font>
      <b/>
      <sz val="18"/>
      <color theme="3"/>
      <name val="Calibri"/>
      <family val="2"/>
      <scheme val="minor"/>
    </font>
    <font>
      <vertAlign val="superscript"/>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1"/>
      <color theme="1"/>
      <name val="Calibri"/>
      <family val="2"/>
      <scheme val="minor"/>
    </font>
    <font>
      <b/>
      <sz val="11"/>
      <color rgb="FF000000"/>
      <name val="Calibri"/>
      <family val="2"/>
      <scheme val="minor"/>
    </font>
    <font>
      <sz val="11"/>
      <color rgb="FF000000"/>
      <name val="Calibri"/>
      <family val="2"/>
      <scheme val="minor"/>
    </font>
    <font>
      <sz val="11"/>
      <color rgb="FFFF0000"/>
      <name val="Times New Roman"/>
      <family val="1"/>
    </font>
    <font>
      <b/>
      <sz val="18"/>
      <color rgb="FF000000"/>
      <name val="Times New Roman"/>
      <family val="1"/>
    </font>
    <font>
      <b/>
      <i/>
      <sz val="18"/>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15">
    <fill>
      <patternFill patternType="none"/>
    </fill>
    <fill>
      <patternFill patternType="gray125"/>
    </fill>
    <fill>
      <patternFill patternType="solid">
        <fgColor theme="0"/>
        <bgColor indexed="64"/>
      </patternFill>
    </fill>
    <fill>
      <patternFill patternType="solid">
        <fgColor theme="3" tint="0.59996337778862885"/>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9"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top/>
      <bottom style="thick">
        <color theme="4"/>
      </bottom>
      <diagonal/>
    </border>
    <border>
      <left/>
      <right/>
      <top/>
      <bottom style="medium">
        <color theme="4" tint="0.39997558519241921"/>
      </bottom>
      <diagonal/>
    </border>
    <border>
      <left style="medium">
        <color theme="4"/>
      </left>
      <right/>
      <top style="thick">
        <color theme="4"/>
      </top>
      <bottom style="thick">
        <color theme="4"/>
      </bottom>
      <diagonal/>
    </border>
    <border>
      <left/>
      <right style="medium">
        <color theme="4"/>
      </right>
      <top style="thick">
        <color theme="4"/>
      </top>
      <bottom style="thick">
        <color theme="4"/>
      </bottom>
      <diagonal/>
    </border>
    <border>
      <left style="medium">
        <color theme="4"/>
      </left>
      <right/>
      <top style="thick">
        <color theme="4"/>
      </top>
      <bottom style="thin">
        <color theme="4"/>
      </bottom>
      <diagonal/>
    </border>
    <border>
      <left style="dashDot">
        <color theme="4"/>
      </left>
      <right style="medium">
        <color theme="4"/>
      </right>
      <top style="thick">
        <color theme="4"/>
      </top>
      <bottom style="thin">
        <color theme="4"/>
      </bottom>
      <diagonal/>
    </border>
    <border>
      <left style="medium">
        <color theme="4"/>
      </left>
      <right/>
      <top style="thin">
        <color theme="4"/>
      </top>
      <bottom style="thin">
        <color theme="4"/>
      </bottom>
      <diagonal/>
    </border>
    <border>
      <left style="dashDot">
        <color theme="4"/>
      </left>
      <right style="medium">
        <color theme="4"/>
      </right>
      <top style="thin">
        <color theme="4"/>
      </top>
      <bottom style="thin">
        <color theme="4"/>
      </bottom>
      <diagonal/>
    </border>
    <border>
      <left style="medium">
        <color theme="4"/>
      </left>
      <right/>
      <top style="thin">
        <color theme="4"/>
      </top>
      <bottom style="medium">
        <color theme="4"/>
      </bottom>
      <diagonal/>
    </border>
    <border>
      <left style="dashDot">
        <color theme="4"/>
      </left>
      <right style="medium">
        <color theme="4"/>
      </right>
      <top style="thin">
        <color theme="4"/>
      </top>
      <bottom style="medium">
        <color theme="4"/>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right/>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style="medium">
        <color indexed="64"/>
      </top>
      <bottom style="thin">
        <color auto="1"/>
      </bottom>
      <diagonal/>
    </border>
    <border>
      <left/>
      <right/>
      <top style="medium">
        <color indexed="64"/>
      </top>
      <bottom/>
      <diagonal/>
    </border>
    <border>
      <left style="thin">
        <color auto="1"/>
      </left>
      <right style="thin">
        <color auto="1"/>
      </right>
      <top/>
      <bottom/>
      <diagonal/>
    </border>
  </borders>
  <cellStyleXfs count="5">
    <xf numFmtId="0" fontId="0" fillId="0" borderId="0"/>
    <xf numFmtId="9" fontId="1" fillId="0" borderId="0" applyFon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 fillId="13" borderId="0" applyNumberFormat="0" applyBorder="0" applyAlignment="0" applyProtection="0"/>
  </cellStyleXfs>
  <cellXfs count="227">
    <xf numFmtId="0" fontId="0" fillId="0" borderId="0" xfId="0"/>
    <xf numFmtId="0" fontId="12" fillId="2" borderId="11" xfId="2" applyFill="1" applyBorder="1" applyAlignment="1" applyProtection="1">
      <alignment horizontal="center"/>
    </xf>
    <xf numFmtId="0" fontId="12" fillId="2" borderId="12" xfId="2" applyFill="1" applyBorder="1" applyAlignment="1" applyProtection="1">
      <alignment horizontal="center"/>
    </xf>
    <xf numFmtId="0" fontId="1" fillId="13" borderId="13" xfId="4" applyBorder="1" applyAlignment="1" applyProtection="1">
      <alignment wrapText="1"/>
    </xf>
    <xf numFmtId="0" fontId="1" fillId="13" borderId="14" xfId="4" applyBorder="1" applyAlignment="1" applyProtection="1">
      <alignment wrapText="1"/>
    </xf>
    <xf numFmtId="0" fontId="0" fillId="13" borderId="15" xfId="4" applyFont="1" applyBorder="1" applyAlignment="1" applyProtection="1">
      <alignment wrapText="1"/>
    </xf>
    <xf numFmtId="0" fontId="0" fillId="13" borderId="16" xfId="4" applyFont="1" applyBorder="1" applyAlignment="1" applyProtection="1">
      <alignment wrapText="1"/>
    </xf>
    <xf numFmtId="0" fontId="0" fillId="6" borderId="16" xfId="4" applyFont="1" applyFill="1" applyBorder="1" applyAlignment="1" applyProtection="1">
      <alignment wrapText="1"/>
    </xf>
    <xf numFmtId="0" fontId="0" fillId="13" borderId="17" xfId="4" applyFont="1" applyBorder="1" applyAlignment="1" applyProtection="1">
      <alignment wrapText="1"/>
    </xf>
    <xf numFmtId="0" fontId="0" fillId="13" borderId="18" xfId="4" applyFont="1" applyBorder="1" applyAlignment="1" applyProtection="1">
      <alignment wrapText="1"/>
    </xf>
    <xf numFmtId="0" fontId="0" fillId="6" borderId="18" xfId="4" applyFont="1" applyFill="1" applyBorder="1" applyAlignment="1" applyProtection="1">
      <alignment wrapText="1"/>
    </xf>
    <xf numFmtId="0" fontId="1" fillId="13" borderId="16" xfId="4" applyBorder="1" applyAlignment="1" applyProtection="1">
      <alignment wrapText="1"/>
    </xf>
    <xf numFmtId="167" fontId="0" fillId="0" borderId="1" xfId="1" applyNumberFormat="1" applyFont="1" applyBorder="1" applyAlignment="1" applyProtection="1">
      <alignment horizontal="center" vertical="center"/>
    </xf>
    <xf numFmtId="0" fontId="15" fillId="2" borderId="9" xfId="2" applyFont="1" applyFill="1" applyAlignment="1" applyProtection="1">
      <alignment horizontal="center"/>
    </xf>
    <xf numFmtId="0" fontId="13" fillId="0" borderId="0" xfId="3" applyFill="1" applyBorder="1" applyAlignment="1" applyProtection="1">
      <alignment horizontal="center"/>
    </xf>
    <xf numFmtId="0" fontId="22" fillId="0" borderId="0" xfId="0" applyFont="1" applyAlignment="1" applyProtection="1">
      <alignment horizontal="center"/>
    </xf>
    <xf numFmtId="0" fontId="0" fillId="0" borderId="0" xfId="0" applyProtection="1"/>
    <xf numFmtId="0" fontId="23" fillId="2" borderId="0" xfId="0" applyFont="1" applyFill="1" applyAlignment="1" applyProtection="1">
      <alignment horizontal="center" vertical="center" wrapText="1"/>
    </xf>
    <xf numFmtId="0" fontId="0" fillId="0" borderId="0" xfId="0" applyAlignment="1" applyProtection="1">
      <alignment horizontal="center"/>
    </xf>
    <xf numFmtId="0" fontId="25" fillId="0" borderId="0" xfId="0" applyFont="1" applyAlignment="1" applyProtection="1">
      <alignment horizontal="center" vertical="center"/>
    </xf>
    <xf numFmtId="0" fontId="26" fillId="0" borderId="0" xfId="0" applyFont="1" applyAlignment="1" applyProtection="1">
      <alignment horizontal="center"/>
    </xf>
    <xf numFmtId="49" fontId="27" fillId="0" borderId="0" xfId="0" applyNumberFormat="1" applyFont="1" applyAlignment="1" applyProtection="1">
      <alignment horizontal="left"/>
    </xf>
    <xf numFmtId="49" fontId="26" fillId="0" borderId="0" xfId="0" applyNumberFormat="1" applyFont="1" applyAlignment="1" applyProtection="1">
      <alignment horizontal="center" vertical="center"/>
    </xf>
    <xf numFmtId="0" fontId="14" fillId="2" borderId="0" xfId="0" applyFont="1" applyFill="1" applyProtection="1"/>
    <xf numFmtId="0" fontId="0" fillId="2" borderId="0" xfId="0" applyFill="1" applyProtection="1"/>
    <xf numFmtId="0" fontId="0" fillId="0" borderId="3" xfId="0" applyBorder="1" applyAlignment="1" applyProtection="1">
      <alignment horizontal="left" wrapText="1"/>
    </xf>
    <xf numFmtId="0" fontId="0" fillId="0" borderId="4" xfId="0" applyBorder="1" applyAlignment="1" applyProtection="1">
      <alignment horizontal="left" wrapText="1"/>
    </xf>
    <xf numFmtId="0" fontId="0" fillId="0" borderId="1" xfId="0" applyBorder="1" applyAlignment="1" applyProtection="1">
      <alignment wrapText="1"/>
    </xf>
    <xf numFmtId="0" fontId="0" fillId="2" borderId="1" xfId="0" applyFill="1" applyBorder="1" applyAlignment="1" applyProtection="1">
      <alignment horizontal="left" wrapText="1"/>
    </xf>
    <xf numFmtId="0" fontId="0" fillId="2" borderId="7" xfId="0" applyFill="1" applyBorder="1" applyAlignment="1" applyProtection="1">
      <alignment horizontal="center"/>
    </xf>
    <xf numFmtId="0" fontId="2" fillId="2" borderId="0" xfId="0" applyFont="1" applyFill="1" applyProtection="1"/>
    <xf numFmtId="0" fontId="0" fillId="2" borderId="0" xfId="0" applyFill="1" applyAlignment="1" applyProtection="1">
      <alignment horizontal="center"/>
    </xf>
    <xf numFmtId="0" fontId="20" fillId="2" borderId="0" xfId="0" applyFont="1" applyFill="1" applyProtection="1"/>
    <xf numFmtId="0" fontId="2" fillId="2" borderId="0" xfId="0" applyFont="1" applyFill="1" applyAlignment="1" applyProtection="1">
      <alignment horizontal="left" wrapText="1"/>
    </xf>
    <xf numFmtId="0" fontId="2" fillId="2" borderId="0" xfId="0" applyFont="1" applyFill="1" applyAlignment="1" applyProtection="1">
      <alignment horizontal="left"/>
    </xf>
    <xf numFmtId="0" fontId="2" fillId="14" borderId="1" xfId="0" applyFont="1" applyFill="1" applyBorder="1" applyAlignment="1" applyProtection="1">
      <alignment horizontal="center"/>
    </xf>
    <xf numFmtId="0" fontId="2" fillId="14" borderId="3" xfId="0" applyFont="1" applyFill="1" applyBorder="1" applyAlignment="1" applyProtection="1">
      <alignment horizontal="center"/>
    </xf>
    <xf numFmtId="0" fontId="2" fillId="14" borderId="1" xfId="0" applyFont="1" applyFill="1" applyBorder="1" applyAlignment="1" applyProtection="1">
      <alignment horizontal="center" wrapText="1"/>
    </xf>
    <xf numFmtId="0" fontId="2" fillId="14" borderId="34" xfId="0" applyFont="1" applyFill="1" applyBorder="1" applyAlignment="1" applyProtection="1">
      <alignment horizontal="center" wrapText="1"/>
    </xf>
    <xf numFmtId="0" fontId="0" fillId="2" borderId="1" xfId="0" applyFill="1" applyBorder="1" applyProtection="1"/>
    <xf numFmtId="0" fontId="0" fillId="2" borderId="1" xfId="0" applyFill="1" applyBorder="1" applyAlignment="1" applyProtection="1">
      <alignment wrapText="1"/>
    </xf>
    <xf numFmtId="1" fontId="0" fillId="2" borderId="2" xfId="0" applyNumberFormat="1" applyFill="1" applyBorder="1" applyAlignment="1" applyProtection="1">
      <alignment horizontal="center" vertical="center"/>
    </xf>
    <xf numFmtId="170" fontId="8" fillId="2" borderId="1" xfId="0" applyNumberFormat="1" applyFont="1" applyFill="1" applyBorder="1" applyAlignment="1" applyProtection="1">
      <alignment horizontal="center" vertical="center"/>
    </xf>
    <xf numFmtId="1" fontId="0" fillId="2" borderId="40" xfId="0" applyNumberForma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2" borderId="1" xfId="0" applyFont="1" applyFill="1" applyBorder="1" applyAlignment="1" applyProtection="1">
      <alignment wrapText="1"/>
    </xf>
    <xf numFmtId="170" fontId="9" fillId="2" borderId="1" xfId="0" applyNumberFormat="1" applyFont="1" applyFill="1" applyBorder="1" applyAlignment="1" applyProtection="1">
      <alignment horizontal="center" vertical="center"/>
    </xf>
    <xf numFmtId="0" fontId="2" fillId="2" borderId="34" xfId="0" applyFont="1" applyFill="1" applyBorder="1" applyAlignment="1" applyProtection="1">
      <alignment horizontal="left" vertical="center"/>
    </xf>
    <xf numFmtId="1" fontId="0" fillId="2" borderId="34" xfId="0" applyNumberFormat="1" applyFill="1" applyBorder="1" applyAlignment="1" applyProtection="1">
      <alignment horizontal="center" vertical="center"/>
    </xf>
    <xf numFmtId="0" fontId="2" fillId="14" borderId="2" xfId="0" applyFont="1" applyFill="1" applyBorder="1" applyAlignment="1" applyProtection="1">
      <alignment horizontal="center" wrapText="1"/>
    </xf>
    <xf numFmtId="0" fontId="2" fillId="14" borderId="34" xfId="0" applyFont="1" applyFill="1" applyBorder="1" applyAlignment="1" applyProtection="1">
      <alignment horizontal="center" wrapText="1"/>
    </xf>
    <xf numFmtId="0" fontId="2" fillId="2" borderId="1" xfId="0" applyFont="1" applyFill="1" applyBorder="1" applyAlignment="1" applyProtection="1">
      <alignment horizontal="left" vertical="center"/>
    </xf>
    <xf numFmtId="1" fontId="0" fillId="2" borderId="1" xfId="0" applyNumberFormat="1" applyFill="1" applyBorder="1" applyAlignment="1" applyProtection="1">
      <alignment horizontal="center" vertical="center"/>
    </xf>
    <xf numFmtId="1" fontId="0" fillId="2" borderId="1" xfId="0" applyNumberFormat="1" applyFill="1" applyBorder="1" applyAlignment="1" applyProtection="1">
      <alignment horizontal="center" vertical="center"/>
    </xf>
    <xf numFmtId="0" fontId="0" fillId="2" borderId="1" xfId="0" applyFill="1" applyBorder="1" applyAlignment="1" applyProtection="1">
      <alignment horizontal="right"/>
    </xf>
    <xf numFmtId="9" fontId="0" fillId="2" borderId="1" xfId="0" applyNumberFormat="1" applyFill="1" applyBorder="1" applyAlignment="1" applyProtection="1">
      <alignment horizontal="center"/>
    </xf>
    <xf numFmtId="0" fontId="0" fillId="2" borderId="1" xfId="0" applyFill="1" applyBorder="1" applyAlignment="1" applyProtection="1">
      <alignment horizontal="center"/>
    </xf>
    <xf numFmtId="10" fontId="0" fillId="2" borderId="1" xfId="0" applyNumberFormat="1" applyFill="1" applyBorder="1" applyAlignment="1" applyProtection="1">
      <alignment horizontal="center"/>
    </xf>
    <xf numFmtId="0" fontId="2" fillId="2" borderId="0" xfId="0" applyFont="1" applyFill="1" applyAlignment="1" applyProtection="1">
      <alignment horizontal="left" vertical="center"/>
    </xf>
    <xf numFmtId="0" fontId="0" fillId="2" borderId="0" xfId="0" applyFill="1" applyAlignment="1" applyProtection="1">
      <alignment horizontal="right"/>
    </xf>
    <xf numFmtId="1" fontId="0" fillId="2" borderId="0" xfId="0" applyNumberFormat="1" applyFill="1" applyAlignment="1" applyProtection="1">
      <alignment horizontal="center" vertical="center"/>
    </xf>
    <xf numFmtId="10" fontId="0" fillId="2" borderId="0" xfId="0" applyNumberFormat="1" applyFill="1" applyAlignment="1" applyProtection="1">
      <alignment horizontal="center"/>
    </xf>
    <xf numFmtId="170" fontId="8" fillId="2" borderId="0" xfId="0" applyNumberFormat="1" applyFont="1" applyFill="1" applyAlignment="1" applyProtection="1">
      <alignment horizontal="center" vertical="center"/>
    </xf>
    <xf numFmtId="0" fontId="0" fillId="2" borderId="0" xfId="0" quotePrefix="1" applyFill="1" applyAlignment="1" applyProtection="1">
      <alignment horizontal="left" vertical="top" wrapText="1"/>
    </xf>
    <xf numFmtId="0" fontId="0" fillId="2" borderId="0" xfId="0" applyFill="1" applyAlignment="1" applyProtection="1">
      <alignment horizontal="left" vertical="top" wrapText="1"/>
    </xf>
    <xf numFmtId="0" fontId="2" fillId="12" borderId="35" xfId="0" applyFont="1" applyFill="1" applyBorder="1" applyAlignment="1" applyProtection="1">
      <alignment horizontal="center" wrapText="1"/>
    </xf>
    <xf numFmtId="0" fontId="2" fillId="0" borderId="29" xfId="0" applyFont="1" applyBorder="1" applyAlignment="1" applyProtection="1">
      <alignment wrapText="1"/>
    </xf>
    <xf numFmtId="0" fontId="2" fillId="8" borderId="21" xfId="0" applyFont="1" applyFill="1" applyBorder="1" applyAlignment="1" applyProtection="1">
      <alignment horizontal="center" vertical="center" wrapText="1"/>
    </xf>
    <xf numFmtId="0" fontId="2" fillId="8" borderId="22" xfId="0" applyFont="1" applyFill="1" applyBorder="1" applyAlignment="1" applyProtection="1">
      <alignment horizontal="center" vertical="center" wrapText="1"/>
    </xf>
    <xf numFmtId="0" fontId="2" fillId="8" borderId="27" xfId="0" applyFont="1" applyFill="1" applyBorder="1" applyAlignment="1" applyProtection="1">
      <alignment horizontal="center" vertical="center" wrapText="1"/>
    </xf>
    <xf numFmtId="0" fontId="2" fillId="0" borderId="30" xfId="0" applyFont="1" applyBorder="1" applyAlignment="1" applyProtection="1">
      <alignment wrapText="1"/>
    </xf>
    <xf numFmtId="0" fontId="0" fillId="0" borderId="25"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33" xfId="0" applyBorder="1" applyAlignment="1" applyProtection="1">
      <alignment horizontal="center" vertical="center" wrapText="1"/>
    </xf>
    <xf numFmtId="0" fontId="0" fillId="0" borderId="32" xfId="0" applyBorder="1" applyAlignment="1" applyProtection="1">
      <alignment horizontal="center" vertical="center" wrapText="1"/>
    </xf>
    <xf numFmtId="0" fontId="2" fillId="0" borderId="20" xfId="0" applyFont="1" applyBorder="1" applyAlignment="1" applyProtection="1">
      <alignment wrapText="1"/>
    </xf>
    <xf numFmtId="0" fontId="0" fillId="0" borderId="21" xfId="0" applyBorder="1" applyAlignment="1" applyProtection="1">
      <alignment wrapText="1"/>
    </xf>
    <xf numFmtId="0" fontId="0" fillId="0" borderId="38" xfId="0"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2" xfId="0" applyBorder="1" applyAlignment="1" applyProtection="1">
      <alignment horizontal="center" vertical="center" wrapText="1"/>
    </xf>
    <xf numFmtId="0" fontId="0" fillId="0" borderId="39" xfId="0" applyBorder="1" applyAlignment="1" applyProtection="1">
      <alignment wrapText="1"/>
    </xf>
    <xf numFmtId="0" fontId="8" fillId="0" borderId="39" xfId="0" applyFont="1" applyBorder="1" applyAlignment="1" applyProtection="1">
      <alignment horizontal="center" vertical="center"/>
    </xf>
    <xf numFmtId="0" fontId="8" fillId="0" borderId="22" xfId="0" applyFont="1" applyBorder="1" applyAlignment="1" applyProtection="1">
      <alignment horizontal="center" vertical="center"/>
    </xf>
    <xf numFmtId="0" fontId="0" fillId="0" borderId="0" xfId="0" applyAlignment="1" applyProtection="1">
      <alignment wrapText="1"/>
    </xf>
    <xf numFmtId="0" fontId="0" fillId="0" borderId="28" xfId="0" applyBorder="1" applyAlignment="1" applyProtection="1">
      <alignment wrapText="1"/>
    </xf>
    <xf numFmtId="0" fontId="0" fillId="0" borderId="20" xfId="0" applyBorder="1" applyAlignment="1" applyProtection="1">
      <alignment horizontal="center" vertical="center" wrapText="1"/>
    </xf>
    <xf numFmtId="0" fontId="0" fillId="0" borderId="23" xfId="0" applyBorder="1" applyAlignment="1" applyProtection="1">
      <alignment wrapText="1"/>
    </xf>
    <xf numFmtId="0" fontId="0" fillId="0" borderId="3" xfId="0" applyBorder="1" applyAlignment="1" applyProtection="1">
      <alignment horizontal="center" vertical="center" wrapText="1"/>
    </xf>
    <xf numFmtId="0" fontId="0" fillId="0" borderId="23" xfId="0" applyBorder="1" applyAlignment="1" applyProtection="1">
      <alignment horizontal="center" vertical="center" wrapText="1"/>
    </xf>
    <xf numFmtId="0" fontId="8" fillId="0" borderId="24" xfId="0" applyFont="1" applyBorder="1" applyAlignment="1" applyProtection="1">
      <alignment horizontal="center" vertical="center"/>
    </xf>
    <xf numFmtId="0" fontId="0" fillId="0" borderId="35" xfId="0" applyBorder="1" applyAlignment="1" applyProtection="1">
      <alignment wrapText="1"/>
    </xf>
    <xf numFmtId="0" fontId="0" fillId="0" borderId="35" xfId="0" applyBorder="1" applyAlignment="1" applyProtection="1">
      <alignment horizontal="center" vertical="center" wrapText="1"/>
    </xf>
    <xf numFmtId="0" fontId="0" fillId="0" borderId="25" xfId="0" applyBorder="1" applyAlignment="1" applyProtection="1">
      <alignment wrapText="1"/>
    </xf>
    <xf numFmtId="0" fontId="0" fillId="0" borderId="26" xfId="0" applyBorder="1" applyAlignment="1" applyProtection="1">
      <alignment horizontal="center" vertical="center" wrapText="1"/>
    </xf>
    <xf numFmtId="0" fontId="0" fillId="0" borderId="3" xfId="0" applyBorder="1" applyAlignment="1" applyProtection="1">
      <alignment horizontal="center" vertical="center"/>
    </xf>
    <xf numFmtId="0" fontId="0" fillId="2" borderId="23" xfId="0" applyFill="1" applyBorder="1" applyAlignment="1" applyProtection="1">
      <alignment wrapText="1"/>
    </xf>
    <xf numFmtId="0" fontId="0" fillId="0" borderId="24" xfId="0" applyBorder="1" applyAlignment="1" applyProtection="1">
      <alignment horizontal="center" vertical="center"/>
    </xf>
    <xf numFmtId="0" fontId="0" fillId="0" borderId="0" xfId="0" applyAlignment="1" applyProtection="1">
      <alignment horizontal="center" vertical="center" wrapText="1"/>
    </xf>
    <xf numFmtId="0" fontId="8" fillId="0" borderId="0" xfId="0" applyFont="1" applyAlignment="1" applyProtection="1">
      <alignment horizontal="center" vertical="center"/>
    </xf>
    <xf numFmtId="0" fontId="8" fillId="0" borderId="3" xfId="0" applyFont="1" applyBorder="1" applyAlignment="1" applyProtection="1">
      <alignment horizontal="center" vertical="center"/>
    </xf>
    <xf numFmtId="0" fontId="8" fillId="0" borderId="31" xfId="0" applyFont="1" applyBorder="1" applyAlignment="1" applyProtection="1">
      <alignment horizontal="center" vertical="center"/>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36" xfId="0" applyBorder="1" applyAlignment="1" applyProtection="1">
      <alignment wrapText="1"/>
    </xf>
    <xf numFmtId="0" fontId="0" fillId="0" borderId="37" xfId="0" applyBorder="1" applyAlignment="1" applyProtection="1">
      <alignment horizontal="center" vertical="center" wrapText="1"/>
    </xf>
    <xf numFmtId="0" fontId="2" fillId="0" borderId="1" xfId="0" applyFont="1" applyBorder="1" applyAlignment="1" applyProtection="1">
      <alignment horizontal="center"/>
    </xf>
    <xf numFmtId="0" fontId="2" fillId="0" borderId="1" xfId="0" applyFont="1" applyBorder="1" applyAlignment="1" applyProtection="1">
      <alignment horizontal="center" wrapText="1"/>
    </xf>
    <xf numFmtId="0" fontId="2" fillId="0" borderId="1" xfId="0" applyFont="1" applyBorder="1" applyAlignment="1" applyProtection="1">
      <alignment horizontal="center"/>
    </xf>
    <xf numFmtId="0" fontId="2" fillId="0" borderId="0" xfId="0" applyFont="1" applyProtection="1"/>
    <xf numFmtId="0" fontId="0" fillId="0" borderId="1" xfId="0" applyBorder="1" applyAlignment="1" applyProtection="1">
      <alignment horizontal="center"/>
    </xf>
    <xf numFmtId="0" fontId="4" fillId="0" borderId="1" xfId="0" applyFont="1" applyBorder="1" applyProtection="1"/>
    <xf numFmtId="0" fontId="0" fillId="0" borderId="1" xfId="0" applyBorder="1" applyAlignment="1" applyProtection="1">
      <alignment horizontal="center" wrapText="1"/>
    </xf>
    <xf numFmtId="0" fontId="0" fillId="2" borderId="1" xfId="0" applyFill="1" applyBorder="1" applyAlignment="1" applyProtection="1">
      <alignment horizontal="center" vertical="center"/>
    </xf>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wrapText="1"/>
    </xf>
    <xf numFmtId="0" fontId="2" fillId="3" borderId="1" xfId="0" applyFont="1" applyFill="1" applyBorder="1" applyAlignment="1" applyProtection="1">
      <alignment horizontal="center"/>
    </xf>
    <xf numFmtId="0" fontId="2" fillId="3" borderId="1" xfId="0" applyFont="1" applyFill="1" applyBorder="1" applyAlignment="1" applyProtection="1">
      <alignment horizontal="center" wrapText="1"/>
    </xf>
    <xf numFmtId="0" fontId="0" fillId="2" borderId="0" xfId="0" applyFill="1" applyAlignment="1" applyProtection="1">
      <alignment wrapText="1"/>
    </xf>
    <xf numFmtId="0" fontId="2" fillId="3" borderId="1" xfId="0" quotePrefix="1" applyFont="1" applyFill="1" applyBorder="1" applyAlignment="1" applyProtection="1">
      <alignment horizontal="center" wrapText="1"/>
    </xf>
    <xf numFmtId="0" fontId="0" fillId="2" borderId="0" xfId="0" applyFill="1" applyAlignment="1" applyProtection="1">
      <alignment horizontal="center" wrapText="1"/>
    </xf>
    <xf numFmtId="0" fontId="0" fillId="0" borderId="2" xfId="0" applyBorder="1" applyAlignment="1" applyProtection="1">
      <alignment vertical="center" wrapText="1"/>
    </xf>
    <xf numFmtId="0" fontId="0" fillId="0" borderId="2" xfId="0" applyBorder="1" applyAlignment="1" applyProtection="1">
      <alignment horizontal="center" vertical="center" wrapText="1"/>
    </xf>
    <xf numFmtId="0" fontId="4" fillId="0" borderId="1" xfId="0" applyFont="1" applyBorder="1" applyAlignment="1" applyProtection="1">
      <alignment vertical="top"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3" fontId="4" fillId="0" borderId="1" xfId="0" applyNumberFormat="1" applyFont="1" applyBorder="1" applyAlignment="1" applyProtection="1">
      <alignment horizontal="center" vertical="center" wrapText="1"/>
    </xf>
    <xf numFmtId="0" fontId="4" fillId="0" borderId="2" xfId="0" applyFont="1" applyBorder="1" applyAlignment="1" applyProtection="1">
      <alignment vertical="top" wrapText="1"/>
    </xf>
    <xf numFmtId="0" fontId="0" fillId="0" borderId="34" xfId="0" applyBorder="1" applyAlignment="1" applyProtection="1">
      <alignment vertical="center" wrapText="1"/>
    </xf>
    <xf numFmtId="0" fontId="0" fillId="0" borderId="34" xfId="0" applyBorder="1" applyAlignment="1" applyProtection="1">
      <alignment horizontal="center" vertical="center" wrapText="1"/>
    </xf>
    <xf numFmtId="164" fontId="4" fillId="0" borderId="1" xfId="0" applyNumberFormat="1" applyFont="1" applyBorder="1" applyAlignment="1" applyProtection="1">
      <alignment horizontal="center" vertical="center" wrapText="1"/>
    </xf>
    <xf numFmtId="2" fontId="4" fillId="0" borderId="1" xfId="0" applyNumberFormat="1" applyFont="1" applyBorder="1" applyAlignment="1" applyProtection="1">
      <alignment horizontal="center" vertical="center" wrapText="1"/>
    </xf>
    <xf numFmtId="1" fontId="4" fillId="0" borderId="1" xfId="0" applyNumberFormat="1" applyFont="1" applyBorder="1" applyAlignment="1" applyProtection="1">
      <alignment horizontal="center" vertical="center" wrapText="1"/>
    </xf>
    <xf numFmtId="164" fontId="4" fillId="0" borderId="2" xfId="0" applyNumberFormat="1" applyFont="1" applyBorder="1" applyAlignment="1" applyProtection="1">
      <alignment horizontal="center" vertical="center" wrapText="1"/>
    </xf>
    <xf numFmtId="165" fontId="4" fillId="0" borderId="1" xfId="0" applyNumberFormat="1" applyFont="1" applyBorder="1" applyAlignment="1" applyProtection="1">
      <alignment horizontal="center" vertical="center" wrapText="1"/>
    </xf>
    <xf numFmtId="0" fontId="4" fillId="0" borderId="34" xfId="0" applyFont="1" applyBorder="1" applyAlignment="1" applyProtection="1">
      <alignment vertical="top" wrapText="1"/>
    </xf>
    <xf numFmtId="0" fontId="0" fillId="0" borderId="1" xfId="0" applyBorder="1" applyAlignment="1" applyProtection="1">
      <alignment wrapText="1"/>
    </xf>
    <xf numFmtId="0" fontId="0" fillId="0" borderId="1" xfId="0" applyBorder="1" applyAlignment="1" applyProtection="1">
      <alignment horizontal="center" vertical="center" wrapText="1"/>
    </xf>
    <xf numFmtId="0" fontId="5" fillId="0" borderId="1" xfId="0" applyFont="1" applyBorder="1" applyAlignment="1" applyProtection="1">
      <alignment horizontal="center" vertical="center" wrapText="1"/>
    </xf>
    <xf numFmtId="0" fontId="0" fillId="2" borderId="0" xfId="0" applyFill="1" applyAlignment="1" applyProtection="1">
      <alignment horizontal="center" vertical="center"/>
    </xf>
    <xf numFmtId="0" fontId="2" fillId="3" borderId="2" xfId="0" applyFont="1" applyFill="1" applyBorder="1" applyAlignment="1" applyProtection="1">
      <alignment wrapText="1"/>
    </xf>
    <xf numFmtId="0" fontId="2" fillId="3" borderId="2" xfId="0" applyFont="1" applyFill="1" applyBorder="1" applyAlignment="1" applyProtection="1">
      <alignment horizontal="center" vertical="center" wrapText="1"/>
    </xf>
    <xf numFmtId="0" fontId="2" fillId="4" borderId="1" xfId="0" applyFont="1" applyFill="1" applyBorder="1" applyProtection="1"/>
    <xf numFmtId="0" fontId="0" fillId="0" borderId="1" xfId="0" applyBorder="1" applyProtection="1"/>
    <xf numFmtId="0" fontId="0" fillId="0" borderId="1" xfId="0" applyBorder="1" applyAlignment="1" applyProtection="1">
      <alignment horizontal="center" vertical="center"/>
    </xf>
    <xf numFmtId="1" fontId="0" fillId="0" borderId="1" xfId="0" applyNumberFormat="1" applyBorder="1" applyProtection="1"/>
    <xf numFmtId="0" fontId="0" fillId="0" borderId="2" xfId="0" applyBorder="1" applyProtection="1"/>
    <xf numFmtId="3" fontId="0" fillId="0" borderId="1" xfId="0" applyNumberFormat="1" applyBorder="1" applyProtection="1"/>
    <xf numFmtId="0" fontId="4" fillId="0" borderId="1" xfId="0" applyFont="1" applyBorder="1" applyAlignment="1" applyProtection="1">
      <alignment horizontal="left" wrapText="1"/>
    </xf>
    <xf numFmtId="0" fontId="0" fillId="0" borderId="2" xfId="0" applyBorder="1" applyAlignment="1" applyProtection="1">
      <alignment wrapText="1"/>
    </xf>
    <xf numFmtId="0" fontId="0" fillId="0" borderId="6" xfId="0" applyBorder="1" applyAlignment="1" applyProtection="1">
      <alignment wrapText="1"/>
    </xf>
    <xf numFmtId="0" fontId="0" fillId="0" borderId="7" xfId="0" applyBorder="1" applyAlignment="1" applyProtection="1">
      <alignment horizontal="center" vertical="center" wrapText="1"/>
    </xf>
    <xf numFmtId="0" fontId="0" fillId="5" borderId="0" xfId="0" applyFill="1" applyAlignment="1" applyProtection="1">
      <alignment wrapText="1"/>
    </xf>
    <xf numFmtId="0" fontId="0" fillId="5" borderId="0" xfId="0" applyFill="1" applyProtection="1"/>
    <xf numFmtId="0" fontId="2" fillId="3" borderId="1" xfId="0" applyFont="1" applyFill="1" applyBorder="1" applyAlignment="1" applyProtection="1">
      <alignment wrapText="1"/>
    </xf>
    <xf numFmtId="0" fontId="2" fillId="3" borderId="1" xfId="0" applyFont="1" applyFill="1" applyBorder="1" applyAlignment="1" applyProtection="1">
      <alignment horizontal="center" vertical="center" wrapText="1"/>
    </xf>
    <xf numFmtId="0" fontId="2" fillId="0" borderId="1" xfId="0" applyFont="1" applyBorder="1" applyAlignment="1" applyProtection="1">
      <alignment wrapText="1"/>
    </xf>
    <xf numFmtId="0" fontId="2" fillId="2" borderId="1" xfId="0" applyFont="1" applyFill="1" applyBorder="1" applyProtection="1"/>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wrapText="1"/>
    </xf>
    <xf numFmtId="0" fontId="0" fillId="2" borderId="1" xfId="0" applyFill="1" applyBorder="1" applyAlignment="1" applyProtection="1">
      <alignment horizontal="left"/>
    </xf>
    <xf numFmtId="166" fontId="0" fillId="2" borderId="1" xfId="0" applyNumberFormat="1" applyFill="1" applyBorder="1" applyAlignment="1" applyProtection="1">
      <alignment horizontal="center"/>
    </xf>
    <xf numFmtId="0" fontId="0" fillId="2" borderId="3" xfId="0" applyFill="1" applyBorder="1" applyAlignment="1" applyProtection="1">
      <alignment horizontal="center" vertical="center"/>
    </xf>
    <xf numFmtId="0" fontId="2" fillId="6" borderId="1" xfId="0" applyFont="1" applyFill="1" applyBorder="1" applyAlignment="1" applyProtection="1">
      <alignment wrapText="1"/>
    </xf>
    <xf numFmtId="0" fontId="2" fillId="6" borderId="3" xfId="0" applyFont="1" applyFill="1" applyBorder="1" applyAlignment="1" applyProtection="1">
      <alignment horizontal="center"/>
    </xf>
    <xf numFmtId="0" fontId="2" fillId="6" borderId="4" xfId="0" applyFont="1" applyFill="1" applyBorder="1" applyAlignment="1" applyProtection="1">
      <alignment horizontal="center"/>
    </xf>
    <xf numFmtId="0" fontId="2" fillId="6" borderId="1" xfId="0" applyFont="1" applyFill="1" applyBorder="1" applyAlignment="1" applyProtection="1">
      <alignment horizontal="center" wrapText="1"/>
    </xf>
    <xf numFmtId="9" fontId="0" fillId="0" borderId="1" xfId="0" applyNumberFormat="1" applyBorder="1" applyAlignment="1" applyProtection="1">
      <alignment horizontal="center"/>
    </xf>
    <xf numFmtId="2" fontId="0" fillId="2" borderId="1" xfId="0" applyNumberFormat="1" applyFill="1" applyBorder="1" applyAlignment="1" applyProtection="1">
      <alignment horizontal="center"/>
    </xf>
    <xf numFmtId="10" fontId="0" fillId="0" borderId="1" xfId="0" applyNumberFormat="1" applyBorder="1" applyAlignment="1" applyProtection="1">
      <alignment horizontal="center"/>
    </xf>
    <xf numFmtId="0" fontId="2" fillId="6" borderId="1" xfId="0" applyFont="1" applyFill="1" applyBorder="1" applyAlignment="1" applyProtection="1">
      <alignment horizontal="center" vertical="center"/>
    </xf>
    <xf numFmtId="0" fontId="2" fillId="6" borderId="1" xfId="0" applyFont="1" applyFill="1" applyBorder="1" applyProtection="1"/>
    <xf numFmtId="0" fontId="2" fillId="0" borderId="1" xfId="0" applyFont="1" applyBorder="1" applyAlignment="1" applyProtection="1">
      <alignment horizontal="left"/>
    </xf>
    <xf numFmtId="0" fontId="0" fillId="0" borderId="1" xfId="0" applyBorder="1" applyAlignment="1" applyProtection="1">
      <alignment horizontal="left"/>
    </xf>
    <xf numFmtId="0" fontId="7" fillId="2" borderId="0" xfId="0" applyFont="1" applyFill="1" applyAlignment="1" applyProtection="1">
      <alignment wrapText="1"/>
    </xf>
    <xf numFmtId="0" fontId="8" fillId="2" borderId="0" xfId="0" applyFont="1" applyFill="1" applyAlignment="1" applyProtection="1">
      <alignment horizontal="left"/>
    </xf>
    <xf numFmtId="0" fontId="8" fillId="2" borderId="0" xfId="0" applyFont="1" applyFill="1" applyAlignment="1" applyProtection="1">
      <alignment wrapText="1"/>
    </xf>
    <xf numFmtId="0" fontId="8" fillId="2" borderId="0" xfId="0" applyFont="1" applyFill="1" applyAlignment="1" applyProtection="1">
      <alignment horizontal="center"/>
    </xf>
    <xf numFmtId="0" fontId="8" fillId="2" borderId="0" xfId="0" applyFont="1" applyFill="1" applyAlignment="1" applyProtection="1">
      <alignment horizontal="center"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8" fillId="12" borderId="1" xfId="0" applyFont="1" applyFill="1" applyBorder="1" applyAlignment="1" applyProtection="1">
      <alignment horizontal="left" wrapText="1"/>
    </xf>
    <xf numFmtId="0" fontId="8" fillId="0" borderId="1" xfId="0" applyFont="1" applyBorder="1" applyAlignment="1" applyProtection="1">
      <alignment horizontal="left"/>
    </xf>
    <xf numFmtId="0" fontId="8" fillId="0" borderId="1" xfId="0" applyFont="1" applyBorder="1" applyAlignment="1" applyProtection="1">
      <alignment wrapText="1"/>
    </xf>
    <xf numFmtId="0" fontId="9" fillId="0" borderId="1" xfId="0" applyFont="1" applyBorder="1" applyAlignment="1" applyProtection="1">
      <alignment horizontal="center" wrapText="1"/>
    </xf>
    <xf numFmtId="0" fontId="8" fillId="0" borderId="1" xfId="0" applyFont="1" applyBorder="1" applyAlignment="1" applyProtection="1">
      <alignment horizontal="center" vertical="center"/>
    </xf>
    <xf numFmtId="0" fontId="0" fillId="7" borderId="1" xfId="0" applyFill="1" applyBorder="1" applyAlignment="1" applyProtection="1">
      <alignment wrapText="1"/>
    </xf>
    <xf numFmtId="168" fontId="9" fillId="0" borderId="1" xfId="0" applyNumberFormat="1" applyFont="1" applyBorder="1" applyAlignment="1" applyProtection="1">
      <alignment horizontal="center"/>
    </xf>
    <xf numFmtId="0" fontId="8" fillId="2" borderId="1" xfId="0" applyFont="1" applyFill="1" applyBorder="1" applyAlignment="1" applyProtection="1">
      <alignment horizontal="center" vertical="center"/>
    </xf>
    <xf numFmtId="3" fontId="9" fillId="0" borderId="1" xfId="0" applyNumberFormat="1" applyFont="1" applyBorder="1" applyAlignment="1" applyProtection="1">
      <alignment horizontal="center"/>
    </xf>
    <xf numFmtId="0" fontId="0" fillId="12" borderId="1" xfId="0" applyFill="1" applyBorder="1" applyAlignment="1" applyProtection="1">
      <alignment wrapText="1"/>
    </xf>
    <xf numFmtId="0" fontId="8" fillId="2" borderId="1" xfId="0" applyFont="1" applyFill="1" applyBorder="1" applyAlignment="1" applyProtection="1">
      <alignment wrapText="1"/>
    </xf>
    <xf numFmtId="11" fontId="9" fillId="0" borderId="1" xfId="0" applyNumberFormat="1" applyFont="1" applyBorder="1" applyAlignment="1" applyProtection="1">
      <alignment horizontal="center"/>
    </xf>
    <xf numFmtId="0" fontId="8" fillId="0" borderId="1" xfId="0" applyFont="1" applyBorder="1" applyAlignment="1" applyProtection="1">
      <alignment horizontal="left" wrapText="1"/>
    </xf>
    <xf numFmtId="11" fontId="0" fillId="2" borderId="0" xfId="0" applyNumberFormat="1" applyFill="1" applyProtection="1"/>
    <xf numFmtId="0" fontId="8" fillId="2" borderId="0" xfId="0" applyFont="1" applyFill="1" applyProtection="1"/>
    <xf numFmtId="0" fontId="9" fillId="2" borderId="0" xfId="0" applyFont="1" applyFill="1" applyProtection="1"/>
    <xf numFmtId="0" fontId="2" fillId="8" borderId="3" xfId="0" applyFont="1" applyFill="1" applyBorder="1" applyAlignment="1" applyProtection="1">
      <alignment horizontal="center" wrapText="1"/>
    </xf>
    <xf numFmtId="0" fontId="2" fillId="8" borderId="4" xfId="0" applyFont="1" applyFill="1" applyBorder="1" applyAlignment="1" applyProtection="1">
      <alignment horizontal="center" wrapText="1"/>
    </xf>
    <xf numFmtId="3" fontId="0" fillId="2" borderId="1" xfId="0" applyNumberFormat="1" applyFill="1" applyBorder="1" applyAlignment="1" applyProtection="1">
      <alignment horizontal="center"/>
    </xf>
    <xf numFmtId="0" fontId="2" fillId="0" borderId="8" xfId="0" applyFont="1" applyBorder="1" applyAlignment="1" applyProtection="1">
      <alignment horizontal="center"/>
    </xf>
    <xf numFmtId="0" fontId="2" fillId="0" borderId="0" xfId="0" applyFont="1" applyAlignment="1" applyProtection="1">
      <alignment wrapText="1"/>
    </xf>
    <xf numFmtId="0" fontId="0" fillId="8" borderId="1" xfId="0" applyFill="1" applyBorder="1" applyAlignment="1" applyProtection="1">
      <alignment wrapText="1"/>
    </xf>
    <xf numFmtId="0" fontId="8" fillId="9" borderId="1" xfId="0" applyFont="1" applyFill="1" applyBorder="1" applyAlignment="1" applyProtection="1">
      <alignment horizontal="left"/>
    </xf>
    <xf numFmtId="0" fontId="8" fillId="0" borderId="0" xfId="0" applyFont="1" applyAlignment="1" applyProtection="1">
      <alignment horizontal="left"/>
    </xf>
    <xf numFmtId="0" fontId="0" fillId="2" borderId="1" xfId="0" applyFill="1" applyBorder="1" applyAlignment="1" applyProtection="1">
      <alignment horizontal="right" wrapText="1"/>
    </xf>
    <xf numFmtId="11" fontId="0" fillId="0" borderId="1" xfId="0" applyNumberFormat="1" applyBorder="1" applyProtection="1"/>
    <xf numFmtId="164" fontId="0" fillId="0" borderId="1" xfId="0" applyNumberFormat="1" applyBorder="1" applyProtection="1"/>
    <xf numFmtId="0" fontId="0" fillId="0" borderId="0" xfId="0" applyAlignment="1" applyProtection="1">
      <alignment horizontal="right" wrapText="1"/>
    </xf>
    <xf numFmtId="164" fontId="0" fillId="0" borderId="0" xfId="0" applyNumberFormat="1" applyProtection="1"/>
    <xf numFmtId="169" fontId="0" fillId="0" borderId="1" xfId="0" applyNumberFormat="1" applyBorder="1" applyProtection="1"/>
    <xf numFmtId="0" fontId="0" fillId="10" borderId="0" xfId="0" applyFill="1" applyAlignment="1" applyProtection="1">
      <alignment wrapText="1"/>
    </xf>
    <xf numFmtId="0" fontId="2" fillId="2" borderId="0" xfId="0" applyFont="1" applyFill="1" applyAlignment="1" applyProtection="1">
      <alignment horizontal="right" wrapText="1"/>
    </xf>
    <xf numFmtId="0" fontId="0" fillId="9" borderId="1" xfId="0" applyFill="1" applyBorder="1" applyProtection="1"/>
    <xf numFmtId="0" fontId="0" fillId="2" borderId="3" xfId="0" applyFill="1" applyBorder="1" applyAlignment="1" applyProtection="1">
      <alignment horizontal="right"/>
    </xf>
    <xf numFmtId="0" fontId="0" fillId="11" borderId="0" xfId="0" applyFill="1" applyAlignment="1" applyProtection="1">
      <alignment wrapText="1"/>
    </xf>
    <xf numFmtId="0" fontId="2" fillId="9" borderId="3" xfId="0" applyFont="1" applyFill="1" applyBorder="1" applyAlignment="1" applyProtection="1">
      <alignment horizontal="center"/>
    </xf>
    <xf numFmtId="0" fontId="2" fillId="9" borderId="5" xfId="0" applyFont="1" applyFill="1" applyBorder="1" applyAlignment="1" applyProtection="1">
      <alignment horizontal="center"/>
    </xf>
    <xf numFmtId="0" fontId="2" fillId="8" borderId="21" xfId="0" applyFont="1" applyFill="1" applyBorder="1" applyAlignment="1" applyProtection="1">
      <alignment vertical="center" wrapText="1"/>
    </xf>
    <xf numFmtId="0" fontId="2" fillId="8" borderId="27" xfId="0" applyFont="1" applyFill="1" applyBorder="1" applyAlignment="1" applyProtection="1">
      <alignment vertical="center" wrapText="1"/>
    </xf>
    <xf numFmtId="0" fontId="0" fillId="0" borderId="25" xfId="0" applyBorder="1" applyAlignment="1" applyProtection="1">
      <alignment vertical="center" wrapText="1"/>
    </xf>
    <xf numFmtId="0" fontId="0" fillId="0" borderId="19" xfId="0" applyBorder="1" applyAlignment="1" applyProtection="1">
      <alignment vertical="center" wrapText="1"/>
    </xf>
    <xf numFmtId="0" fontId="0" fillId="0" borderId="32" xfId="0" applyBorder="1" applyAlignment="1" applyProtection="1">
      <alignment vertical="center" wrapText="1"/>
    </xf>
    <xf numFmtId="0" fontId="2" fillId="10" borderId="0" xfId="0" applyFont="1" applyFill="1" applyAlignment="1" applyProtection="1">
      <alignment wrapText="1"/>
    </xf>
    <xf numFmtId="0" fontId="0" fillId="10" borderId="0" xfId="0" applyFill="1" applyProtection="1"/>
    <xf numFmtId="0" fontId="2" fillId="14" borderId="1" xfId="0" applyFont="1" applyFill="1" applyBorder="1" applyProtection="1"/>
  </cellXfs>
  <cellStyles count="5">
    <cellStyle name="20% - Accent1" xfId="4" builtinId="30"/>
    <cellStyle name="Heading 1" xfId="2" builtinId="16"/>
    <cellStyle name="Heading 3" xfId="3" builtinId="18"/>
    <cellStyle name="Normal" xfId="0" builtinId="0"/>
    <cellStyle name="Percent" xfId="1" builtinId="5"/>
  </cellStyles>
  <dxfs count="31">
    <dxf>
      <numFmt numFmtId="2" formatCode="0.00"/>
    </dxf>
    <dxf>
      <numFmt numFmtId="164" formatCode="0.0"/>
    </dxf>
    <dxf>
      <numFmt numFmtId="3" formatCode="#,##0"/>
    </dxf>
    <dxf>
      <font>
        <color theme="0"/>
      </font>
    </dxf>
    <dxf>
      <fill>
        <patternFill>
          <bgColor theme="0"/>
        </patternFill>
      </fill>
    </dxf>
    <dxf>
      <numFmt numFmtId="171" formatCode="0.0E+00"/>
    </dxf>
    <dxf>
      <numFmt numFmtId="4" formatCode="#,##0.00"/>
    </dxf>
    <dxf>
      <numFmt numFmtId="165" formatCode="#,##0.0"/>
    </dxf>
    <dxf>
      <numFmt numFmtId="3" formatCode="#,##0"/>
    </dxf>
    <dxf>
      <numFmt numFmtId="171" formatCode="0.0E+00"/>
    </dxf>
    <dxf>
      <font>
        <color theme="0"/>
      </font>
    </dxf>
    <dxf>
      <fill>
        <patternFill>
          <bgColor theme="0"/>
        </patternFill>
      </fill>
    </dxf>
    <dxf>
      <numFmt numFmtId="171" formatCode="0.0E+00"/>
    </dxf>
    <dxf>
      <numFmt numFmtId="4" formatCode="#,##0.00"/>
    </dxf>
    <dxf>
      <numFmt numFmtId="165" formatCode="#,##0.0"/>
    </dxf>
    <dxf>
      <numFmt numFmtId="3" formatCode="#,##0"/>
    </dxf>
    <dxf>
      <numFmt numFmtId="171" formatCode="0.0E+00"/>
    </dxf>
    <dxf>
      <font>
        <color theme="0"/>
      </font>
    </dxf>
    <dxf>
      <fill>
        <patternFill>
          <bgColor theme="0"/>
        </patternFill>
      </fill>
    </dxf>
    <dxf>
      <numFmt numFmtId="171" formatCode="0.0E+00"/>
    </dxf>
    <dxf>
      <numFmt numFmtId="4" formatCode="#,##0.00"/>
    </dxf>
    <dxf>
      <numFmt numFmtId="165" formatCode="#,##0.0"/>
    </dxf>
    <dxf>
      <numFmt numFmtId="3" formatCode="#,##0"/>
    </dxf>
    <dxf>
      <numFmt numFmtId="171" formatCode="0.0E+00"/>
    </dxf>
    <dxf>
      <font>
        <color theme="0"/>
      </font>
    </dxf>
    <dxf>
      <fill>
        <patternFill>
          <bgColor theme="0"/>
        </patternFill>
      </fill>
    </dxf>
    <dxf>
      <numFmt numFmtId="171" formatCode="0.0E+00"/>
    </dxf>
    <dxf>
      <numFmt numFmtId="4" formatCode="#,##0.00"/>
    </dxf>
    <dxf>
      <numFmt numFmtId="165" formatCode="#,##0.0"/>
    </dxf>
    <dxf>
      <numFmt numFmtId="3" formatCode="#,##0"/>
    </dxf>
    <dxf>
      <numFmt numFmtId="171" formatCode="0.0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1418032</xdr:colOff>
      <xdr:row>20</xdr:row>
      <xdr:rowOff>108347</xdr:rowOff>
    </xdr:from>
    <xdr:ext cx="5773342" cy="856901"/>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3711F0D-D3C2-585E-83CE-09536558AB62}"/>
                </a:ext>
              </a:extLst>
            </xdr:cNvPr>
            <xdr:cNvSpPr txBox="1"/>
          </xdr:nvSpPr>
          <xdr:spPr>
            <a:xfrm>
              <a:off x="1632345" y="9835753"/>
              <a:ext cx="5773342" cy="8569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𝑃𝑉</m:t>
                    </m:r>
                    <m:r>
                      <a:rPr lang="en-US" sz="1400" b="0" i="1">
                        <a:latin typeface="Cambria Math" panose="02040503050406030204" pitchFamily="18" charset="0"/>
                      </a:rPr>
                      <m:t>=</m:t>
                    </m:r>
                    <m:sSub>
                      <m:sSubPr>
                        <m:ctrlPr>
                          <a:rPr lang="en-US" sz="1400" b="0" i="1">
                            <a:latin typeface="Cambria Math" panose="02040503050406030204" pitchFamily="18" charset="0"/>
                          </a:rPr>
                        </m:ctrlPr>
                      </m:sSubPr>
                      <m:e>
                        <m:sSub>
                          <m:sSubPr>
                            <m:ctrlPr>
                              <a:rPr lang="en-US" sz="1400" b="0" i="1">
                                <a:latin typeface="Cambria Math" panose="02040503050406030204" pitchFamily="18" charset="0"/>
                              </a:rPr>
                            </m:ctrlPr>
                          </m:sSubPr>
                          <m:e>
                            <m:r>
                              <a:rPr lang="en-US" sz="1400" b="0" i="1">
                                <a:latin typeface="Cambria Math" panose="02040503050406030204" pitchFamily="18" charset="0"/>
                              </a:rPr>
                              <m:t>𝑁</m:t>
                            </m:r>
                          </m:e>
                          <m:sub>
                            <m:r>
                              <a:rPr lang="en-US" sz="1400" b="0" i="1">
                                <a:latin typeface="Cambria Math" panose="02040503050406030204" pitchFamily="18" charset="0"/>
                              </a:rPr>
                              <m:t>𝑆𝑖𝑡𝑒𝑠</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𝑄</m:t>
                        </m:r>
                      </m:e>
                      <m:sub>
                        <m:r>
                          <a:rPr lang="en-US" sz="1400" b="0" i="1">
                            <a:latin typeface="Cambria Math" panose="02040503050406030204" pitchFamily="18" charset="0"/>
                          </a:rPr>
                          <m:t>𝑆𝑃𝐹</m:t>
                        </m:r>
                        <m:r>
                          <a:rPr lang="en-US" sz="1400" b="0" i="1">
                            <a:latin typeface="Cambria Math" panose="02040503050406030204" pitchFamily="18" charset="0"/>
                          </a:rPr>
                          <m:t>_</m:t>
                        </m:r>
                        <m:r>
                          <a:rPr lang="en-US" sz="1400" b="0" i="1">
                            <a:latin typeface="Cambria Math" panose="02040503050406030204" pitchFamily="18" charset="0"/>
                          </a:rPr>
                          <m:t>𝑆𝑖𝑡𝑒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𝐶h𝑒𝑚</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𝑆𝑖𝑑𝑒</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𝑀𝑎𝑥</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𝑆𝑖𝑑𝑒</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𝑆𝑃𝐹</m:t>
                        </m:r>
                      </m:sub>
                    </m:sSub>
                  </m:oMath>
                </m:oMathPara>
              </a14:m>
              <a:endParaRPr lang="en-US" sz="1600"/>
            </a:p>
            <a:p>
              <a:endParaRPr lang="en-US" sz="1600"/>
            </a:p>
            <a:p>
              <a:pPr/>
              <a14:m>
                <m:oMathPara xmlns:m="http://schemas.openxmlformats.org/officeDocument/2006/math">
                  <m:oMathParaPr>
                    <m:jc m:val="centerGroup"/>
                  </m:oMathParaPr>
                  <m:oMath xmlns:m="http://schemas.openxmlformats.org/officeDocument/2006/math">
                    <m:r>
                      <a:rPr lang="en-US" sz="1200" b="0" i="1">
                        <a:latin typeface="Cambria Math" panose="02040503050406030204" pitchFamily="18" charset="0"/>
                      </a:rPr>
                      <m:t>𝑃𝑉</m:t>
                    </m:r>
                    <m:r>
                      <a:rPr lang="en-US" sz="1200" b="0" i="1">
                        <a:latin typeface="Cambria Math" panose="02040503050406030204" pitchFamily="18" charset="0"/>
                      </a:rPr>
                      <m:t>=1 </m:t>
                    </m:r>
                    <m:r>
                      <a:rPr lang="en-US" sz="1200" b="0" i="1">
                        <a:latin typeface="Cambria Math" panose="02040503050406030204" pitchFamily="18" charset="0"/>
                      </a:rPr>
                      <m:t>𝑆𝑖𝑡𝑒</m:t>
                    </m:r>
                    <m:r>
                      <a:rPr lang="en-US" sz="1200" b="0" i="1">
                        <a:latin typeface="Cambria Math" panose="02040503050406030204" pitchFamily="18" charset="0"/>
                        <a:ea typeface="Cambria Math" panose="02040503050406030204" pitchFamily="18" charset="0"/>
                      </a:rPr>
                      <m:t>×467</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𝑘𝑔</m:t>
                        </m:r>
                        <m:r>
                          <a:rPr lang="en-US" sz="1200" b="0" i="1">
                            <a:latin typeface="Cambria Math" panose="02040503050406030204" pitchFamily="18" charset="0"/>
                            <a:ea typeface="Cambria Math" panose="02040503050406030204" pitchFamily="18" charset="0"/>
                          </a:rPr>
                          <m:t> </m:t>
                        </m:r>
                        <m:r>
                          <a:rPr lang="en-US" sz="1200" b="0" i="1">
                            <a:latin typeface="Cambria Math" panose="02040503050406030204" pitchFamily="18" charset="0"/>
                            <a:ea typeface="Cambria Math" panose="02040503050406030204" pitchFamily="18" charset="0"/>
                          </a:rPr>
                          <m:t>𝑓𝑜𝑎𝑚</m:t>
                        </m:r>
                      </m:num>
                      <m:den>
                        <m:r>
                          <a:rPr lang="en-US" sz="1200" b="0" i="1">
                            <a:latin typeface="Cambria Math" panose="02040503050406030204" pitchFamily="18" charset="0"/>
                            <a:ea typeface="Cambria Math" panose="02040503050406030204" pitchFamily="18" charset="0"/>
                          </a:rPr>
                          <m:t>𝑠𝑖𝑡𝑒</m:t>
                        </m:r>
                      </m:den>
                    </m:f>
                    <m:r>
                      <a:rPr lang="en-US" sz="1200" b="0" i="1">
                        <a:latin typeface="Cambria Math" panose="02040503050406030204" pitchFamily="18" charset="0"/>
                        <a:ea typeface="Cambria Math" panose="02040503050406030204" pitchFamily="18" charset="0"/>
                      </a:rPr>
                      <m:t>×0.05∗0.5</m:t>
                    </m:r>
                    <m:f>
                      <m:fPr>
                        <m:ctrlPr>
                          <a:rPr lang="en-US" sz="1200" b="0" i="1">
                            <a:latin typeface="Cambria Math" panose="02040503050406030204" pitchFamily="18" charset="0"/>
                            <a:ea typeface="Cambria Math" panose="02040503050406030204" pitchFamily="18" charset="0"/>
                          </a:rPr>
                        </m:ctrlPr>
                      </m:fPr>
                      <m:num>
                        <m:r>
                          <a:rPr lang="en-US" sz="1200" b="0" i="1">
                            <a:latin typeface="Cambria Math" panose="02040503050406030204" pitchFamily="18" charset="0"/>
                            <a:ea typeface="Cambria Math" panose="02040503050406030204" pitchFamily="18" charset="0"/>
                          </a:rPr>
                          <m:t>𝑘𝑔</m:t>
                        </m:r>
                        <m:r>
                          <a:rPr lang="en-US" sz="1200" b="0" i="1">
                            <a:latin typeface="Cambria Math" panose="02040503050406030204" pitchFamily="18" charset="0"/>
                            <a:ea typeface="Cambria Math" panose="02040503050406030204" pitchFamily="18" charset="0"/>
                          </a:rPr>
                          <m:t> </m:t>
                        </m:r>
                        <m:r>
                          <a:rPr lang="en-US" sz="1200" b="0" i="1">
                            <a:latin typeface="Cambria Math" panose="02040503050406030204" pitchFamily="18" charset="0"/>
                            <a:ea typeface="Cambria Math" panose="02040503050406030204" pitchFamily="18" charset="0"/>
                          </a:rPr>
                          <m:t>𝑓𝑜𝑟𝑚𝑢𝑙𝑎𝑡𝑖𝑜𝑛</m:t>
                        </m:r>
                      </m:num>
                      <m:den>
                        <m:r>
                          <a:rPr lang="en-US" sz="1200" b="0" i="1">
                            <a:latin typeface="Cambria Math" panose="02040503050406030204" pitchFamily="18" charset="0"/>
                            <a:ea typeface="Cambria Math" panose="02040503050406030204" pitchFamily="18" charset="0"/>
                          </a:rPr>
                          <m:t>𝑘𝑔</m:t>
                        </m:r>
                        <m:r>
                          <a:rPr lang="en-US" sz="1200" b="0" i="1">
                            <a:latin typeface="Cambria Math" panose="02040503050406030204" pitchFamily="18" charset="0"/>
                            <a:ea typeface="Cambria Math" panose="02040503050406030204" pitchFamily="18" charset="0"/>
                          </a:rPr>
                          <m:t> </m:t>
                        </m:r>
                        <m:r>
                          <a:rPr lang="en-US" sz="1200" b="0" i="1">
                            <a:latin typeface="Cambria Math" panose="02040503050406030204" pitchFamily="18" charset="0"/>
                            <a:ea typeface="Cambria Math" panose="02040503050406030204" pitchFamily="18" charset="0"/>
                          </a:rPr>
                          <m:t>𝑆𝑃𝐹</m:t>
                        </m:r>
                      </m:den>
                    </m:f>
                  </m:oMath>
                </m:oMathPara>
              </a14:m>
              <a:endParaRPr lang="en-US" sz="1600"/>
            </a:p>
          </xdr:txBody>
        </xdr:sp>
      </mc:Choice>
      <mc:Fallback xmlns="">
        <xdr:sp macro="" textlink="">
          <xdr:nvSpPr>
            <xdr:cNvPr id="2" name="TextBox 1">
              <a:extLst>
                <a:ext uri="{FF2B5EF4-FFF2-40B4-BE49-F238E27FC236}">
                  <a16:creationId xmlns:a16="http://schemas.microsoft.com/office/drawing/2014/main" id="{03711F0D-D3C2-585E-83CE-09536558AB62}"/>
                </a:ext>
              </a:extLst>
            </xdr:cNvPr>
            <xdr:cNvSpPr txBox="1"/>
          </xdr:nvSpPr>
          <xdr:spPr>
            <a:xfrm>
              <a:off x="1632345" y="9835753"/>
              <a:ext cx="5773342" cy="8569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𝑃𝑉=〖𝑁_𝑆𝑖𝑡𝑒𝑠</a:t>
              </a: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𝑄〗_(𝑆𝑃𝐹_𝑆𝑖𝑡𝑒)</a:t>
              </a:r>
              <a:r>
                <a:rPr lang="en-US" sz="1400" b="0" i="0">
                  <a:latin typeface="Cambria Math" panose="02040503050406030204" pitchFamily="18" charset="0"/>
                  <a:ea typeface="Cambria Math" panose="02040503050406030204" pitchFamily="18" charset="0"/>
                </a:rPr>
                <a:t>×𝐹_(𝐶ℎ𝑒𝑚_𝑆𝑖𝑑𝑒_𝑀𝑎𝑥)×𝐹_(𝑆𝑖𝑑𝑒_𝑆𝑃𝐹)</a:t>
              </a:r>
              <a:endParaRPr lang="en-US" sz="1600"/>
            </a:p>
            <a:p>
              <a:endParaRPr lang="en-US" sz="1600"/>
            </a:p>
            <a:p>
              <a:r>
                <a:rPr lang="en-US" sz="1200" b="0" i="0">
                  <a:latin typeface="Cambria Math" panose="02040503050406030204" pitchFamily="18" charset="0"/>
                </a:rPr>
                <a:t>𝑃𝑉=1 𝑆𝑖𝑡𝑒</a:t>
              </a:r>
              <a:r>
                <a:rPr lang="en-US" sz="1200" b="0" i="0">
                  <a:latin typeface="Cambria Math" panose="02040503050406030204" pitchFamily="18" charset="0"/>
                  <a:ea typeface="Cambria Math" panose="02040503050406030204" pitchFamily="18" charset="0"/>
                </a:rPr>
                <a:t>×467 (𝑘𝑔 𝑓𝑜𝑎𝑚)/𝑠𝑖𝑡𝑒×0.05∗0.5 (𝑘𝑔 𝑓𝑜𝑟𝑚𝑢𝑙𝑎𝑡𝑖𝑜𝑛)/(𝑘𝑔 𝑆𝑃𝐹)</a:t>
              </a:r>
              <a:endParaRPr lang="en-US" sz="1600"/>
            </a:p>
          </xdr:txBody>
        </xdr:sp>
      </mc:Fallback>
    </mc:AlternateContent>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sepa.sharepoint.com/sites/ocspp_Work/wpc/TSCA%20Scoping%20Next%2020%20HPS%20Review/Chlorinated%20Solvents/trans-1,2-Dichloroethylene/RE%20Documents/QC/Files%20Ready%20for%20QC%20(Not%20SACC2)/20.%20Draft%20Aerosol%20Degreasing%20Environmental%20Release%20Model%20for%20trans-1,2-Dichloroethylene.xlsx" TargetMode="External"/><Relationship Id="rId1" Type="http://schemas.openxmlformats.org/officeDocument/2006/relationships/externalLinkPath" Target="20.%20Draft%20Aerosol%20Degreasing%20Environmental%20Release%20Model%20for%20trans-1,2-Dichloroethylene.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mily_webber_erg_com/Documents/Documents/_ExChems/Chlorinated%20Solvents/tDCE/Monte%20Carlo%20Simulations/Use%20of%20Adhesives/Trans-1,2-DCE_Releases_Use%20of%20Adhesives_2026.01.30.xlsx" TargetMode="External"/><Relationship Id="rId2" Type="http://schemas.openxmlformats.org/officeDocument/2006/relationships/externalLinkPath" Target="https://usepa.sharepoint.com/personal/emily_webber_erg_com/Documents/Documents/_ExChems/Chlorinated%20Solvents/tDCE/Monte%20Carlo%20Simulations/Use%20of%20Adhesives/Trans-1,2-DCE_Releases_Use%20of%20Adhesives_2026.01.30.xlsx" TargetMode="External"/><Relationship Id="rId1" Type="http://schemas.openxmlformats.org/officeDocument/2006/relationships/externalLinkPath" Target="/personal/emily_webber_erg_com/Documents/Documents/_ExChems/Chlorinated%20Solvents/tDCE/Monte%20Carlo%20Simulations/Use%20of%20Adhesives/Trans-1,2-DCE_Releases_Use%20of%20Adhesives_2026.01.3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sternresearchgroup.sharepoint.com/sites/TSCARiskEvaluations/Shared%20Documents/Chlorinated%20Solvents/Risk%20Calculator/tDCE/tDCE%20Risk%20Calculator_2026.01.28.xlsx" TargetMode="External"/><Relationship Id="rId1" Type="http://schemas.openxmlformats.org/officeDocument/2006/relationships/externalLinkPath" Target="https://easternresearchgroup.sharepoint.com/sites/TSCARiskEvaluations/Shared%20Documents/Chlorinated%20Solvents/Risk%20Calculator/tDCE/tDCE%20Risk%20Calculator_2026.01.28.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emily_webber_erg_com/Documents/Documents/_ExChems/Chlorinated%20Solvents/tDCE/Monte%20Carlo%20Simulations/Vapor%20Degreasing/Trans-1,2-DCE_Releases_Vapor%20Degreasing_2026.01.29.xlsx" TargetMode="External"/><Relationship Id="rId2" Type="http://schemas.openxmlformats.org/officeDocument/2006/relationships/externalLinkPath" Target="https://usepa.sharepoint.com/personal/emily_webber_erg_com/Documents/Documents/_ExChems/Chlorinated%20Solvents/tDCE/Monte%20Carlo%20Simulations/Vapor%20Degreasing/Trans-1,2-DCE_Releases_Vapor%20Degreasing_2026.01.29.xlsx" TargetMode="External"/><Relationship Id="rId1" Type="http://schemas.openxmlformats.org/officeDocument/2006/relationships/externalLinkPath" Target="/personal/emily_webber_erg_com/Documents/Documents/_ExChems/Chlorinated%20Solvents/tDCE/Monte%20Carlo%20Simulations/Vapor%20Degreasing/Trans-1,2-DCE_Releases_Vapor%20Degreasing_2026.01.29.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CEB/ExistingChems/Work%20Plan%20Chemicals/2nd%20Batch/Chlorinated%20Solvents/Monte%20Carlo%20Simulations/Trans-1,2-DCE/Lab%20Chems/Trans-1,2-DCE_Laboratory%20Chem_Monte%20Carlo%20Sim_2023.03.09.xlsx" TargetMode="External"/><Relationship Id="rId2" Type="http://schemas.openxmlformats.org/officeDocument/2006/relationships/externalLinkPath" Target="https://usepa.sharepoint.com/CEB/ExistingChems/Work%20Plan%20Chemicals/2nd%20Batch/Chlorinated%20Solvents/Monte%20Carlo%20Simulations/Trans-1,2-DCE/Lab%20Chems/Trans-1,2-DCE_Laboratory%20Chem_Monte%20Carlo%20Sim_2023.03.09.xlsx" TargetMode="External"/><Relationship Id="rId1" Type="http://schemas.openxmlformats.org/officeDocument/2006/relationships/externalLinkPath" Target="/CEB/ExistingChems/Work%20Plan%20Chemicals/2nd%20Batch/Chlorinated%20Solvents/Monte%20Carlo%20Simulations/Trans-1,2-DCE/Lab%20Chems/Trans-1,2-DCE_Laboratory%20Chem_Monte%20Carlo%20Sim_2023.03.09.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usepa.sharepoint.com/sites/ocspp_Work/wpc/TSCA%20Scoping%20Next%2020%20HPS%20Review/Chlorinated%20Solvents/trans-1,2-Dichloroethylene/RE%20Documents/QC/Files%20Ready%20for%20QC%20(Not%20SACC2)/19.%20Draft%20Repackaging%20Environmental%20Release%20Model%20for%20trans-1,2-Dichloroethylene.xlsm" TargetMode="External"/><Relationship Id="rId1" Type="http://schemas.openxmlformats.org/officeDocument/2006/relationships/externalLinkPath" Target="19.%20Draft%20Repackaging%20Environmental%20Release%20Model%20for%20trans-1,2-Dichloroethylen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ReadMe"/>
      <sheetName val="Release Summary"/>
      <sheetName val="Illustration"/>
      <sheetName val="Release Parameters"/>
      <sheetName val="Release Calcs"/>
      <sheetName val="Release Results"/>
      <sheetName val="Products"/>
      <sheetName val="NAICS Codes"/>
      <sheetName val="Exposure Parameters"/>
      <sheetName val="Exposure Calcs"/>
      <sheetName val="Baseline Exposure Results"/>
      <sheetName val="Charts"/>
    </sheetNames>
    <sheetDataSet>
      <sheetData sheetId="0"/>
      <sheetData sheetId="1"/>
      <sheetData sheetId="2"/>
      <sheetData sheetId="3"/>
      <sheetData sheetId="4">
        <row r="6">
          <cell r="D6">
            <v>106.5</v>
          </cell>
        </row>
        <row r="7">
          <cell r="D7">
            <v>0.7</v>
          </cell>
        </row>
        <row r="8">
          <cell r="D8">
            <v>152.14285714285714</v>
          </cell>
        </row>
        <row r="22">
          <cell r="D22" t="e">
            <v>#NAME?</v>
          </cell>
        </row>
      </sheetData>
      <sheetData sheetId="5">
        <row r="5">
          <cell r="E5" t="e">
            <v>#NAME?</v>
          </cell>
        </row>
        <row r="6">
          <cell r="E6" t="e">
            <v>#NAME?</v>
          </cell>
        </row>
        <row r="7">
          <cell r="E7" t="e">
            <v>#NAME?</v>
          </cell>
        </row>
        <row r="8">
          <cell r="E8" t="e">
            <v>#NAME?</v>
          </cell>
        </row>
      </sheetData>
      <sheetData sheetId="6"/>
      <sheetData sheetId="7"/>
      <sheetData sheetId="8"/>
      <sheetData sheetId="9">
        <row r="6">
          <cell r="L6" t="e">
            <v>#NAME?</v>
          </cell>
        </row>
        <row r="8">
          <cell r="L8" t="e">
            <v>#NAME?</v>
          </cell>
        </row>
        <row r="9">
          <cell r="L9" t="e">
            <v>#NAME?</v>
          </cell>
        </row>
        <row r="12">
          <cell r="D12">
            <v>25</v>
          </cell>
        </row>
        <row r="13">
          <cell r="D13">
            <v>760</v>
          </cell>
        </row>
        <row r="14">
          <cell r="D14">
            <v>62.363669999999999</v>
          </cell>
        </row>
        <row r="16">
          <cell r="D16">
            <v>1000</v>
          </cell>
        </row>
        <row r="21">
          <cell r="D21">
            <v>100</v>
          </cell>
        </row>
        <row r="23">
          <cell r="D23">
            <v>60</v>
          </cell>
        </row>
        <row r="24">
          <cell r="D24">
            <v>1.5</v>
          </cell>
        </row>
        <row r="25">
          <cell r="D25">
            <v>0</v>
          </cell>
        </row>
        <row r="26">
          <cell r="D26">
            <v>8.3299999999999999E-2</v>
          </cell>
        </row>
        <row r="27">
          <cell r="D27">
            <v>8</v>
          </cell>
        </row>
        <row r="28">
          <cell r="D28">
            <v>250</v>
          </cell>
        </row>
        <row r="35">
          <cell r="D35">
            <v>141.58423295999998</v>
          </cell>
        </row>
        <row r="37">
          <cell r="D37">
            <v>936</v>
          </cell>
        </row>
        <row r="38">
          <cell r="D38">
            <v>52</v>
          </cell>
        </row>
        <row r="39">
          <cell r="D39" t="e">
            <v>#NAME?</v>
          </cell>
        </row>
        <row r="40">
          <cell r="D40">
            <v>1</v>
          </cell>
        </row>
        <row r="45">
          <cell r="D45">
            <v>11</v>
          </cell>
        </row>
        <row r="48">
          <cell r="D48" t="e">
            <v>#NAME?</v>
          </cell>
        </row>
      </sheetData>
      <sheetData sheetId="10">
        <row r="9">
          <cell r="E9">
            <v>17.671458676442587</v>
          </cell>
        </row>
        <row r="10">
          <cell r="E10" t="e">
            <v>#NAME?</v>
          </cell>
        </row>
        <row r="11">
          <cell r="E11" t="e">
            <v>#NAME?</v>
          </cell>
        </row>
        <row r="12">
          <cell r="E12">
            <v>7.0685834705770336</v>
          </cell>
        </row>
        <row r="14">
          <cell r="E14" t="e">
            <v>#NAME?</v>
          </cell>
        </row>
        <row r="15">
          <cell r="E15" t="e">
            <v>#NAME?</v>
          </cell>
        </row>
        <row r="20">
          <cell r="E20" t="e">
            <v>#NAME?</v>
          </cell>
        </row>
        <row r="103">
          <cell r="O103" t="e">
            <v>#NAME?</v>
          </cell>
          <cell r="P103" t="e">
            <v>#NAME?</v>
          </cell>
        </row>
        <row r="104">
          <cell r="O104" t="e">
            <v>#NAME?</v>
          </cell>
          <cell r="P104" t="e">
            <v>#NAME?</v>
          </cell>
        </row>
      </sheetData>
      <sheetData sheetId="11">
        <row r="17">
          <cell r="D17">
            <v>8</v>
          </cell>
        </row>
        <row r="18">
          <cell r="D18">
            <v>24</v>
          </cell>
        </row>
        <row r="19">
          <cell r="D19">
            <v>8</v>
          </cell>
        </row>
        <row r="20">
          <cell r="D20">
            <v>250</v>
          </cell>
        </row>
        <row r="21">
          <cell r="D21" t="e">
            <v>#NAME?</v>
          </cell>
        </row>
        <row r="22">
          <cell r="D22" t="e">
            <v>#NAME?</v>
          </cell>
        </row>
        <row r="23">
          <cell r="D23">
            <v>78</v>
          </cell>
        </row>
        <row r="24">
          <cell r="D24" t="e">
            <v>#NAME?</v>
          </cell>
        </row>
        <row r="25">
          <cell r="D25">
            <v>683280</v>
          </cell>
        </row>
      </sheetData>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Page"/>
      <sheetName val="ReadMe"/>
      <sheetName val="Release Summary"/>
      <sheetName val="Release Point Summary"/>
      <sheetName val="Product Selector Data"/>
      <sheetName val="Release Parameters"/>
      <sheetName val="Release Calcs"/>
      <sheetName val="Static Release Results"/>
      <sheetName val="NAICS Code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Versions"/>
      <sheetName val="README"/>
      <sheetName val="Calculation Summary"/>
      <sheetName val="Dashboard"/>
      <sheetName val="Bridge Table"/>
      <sheetName val="Risk Reduction"/>
      <sheetName val="Health Data"/>
      <sheetName val="Dermal Exposure"/>
      <sheetName val="Static Exposure Results"/>
      <sheetName val="Inhalation Exposure_8-hr"/>
      <sheetName val="Inhalation Data Summary"/>
      <sheetName val="Inhalation Crosswalk"/>
      <sheetName val="Inhalation Exposure_STEL"/>
      <sheetName val="List Values"/>
      <sheetName val="Exposure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Page"/>
      <sheetName val="ReadMe"/>
      <sheetName val="Release Summary"/>
      <sheetName val="Release Point Summary"/>
      <sheetName val="Product Selector Data"/>
      <sheetName val="Release Parameters"/>
      <sheetName val="Release Calcs"/>
      <sheetName val="Release Results"/>
      <sheetName val="Static Release Results"/>
    </sheetNames>
    <sheetDataSet>
      <sheetData sheetId="0"/>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ersions"/>
      <sheetName val="ReadMe"/>
      <sheetName val="Release Summary"/>
      <sheetName val="QC Sheet"/>
      <sheetName val="Release Point Summary"/>
      <sheetName val="Product Selector Data"/>
      <sheetName val="Release Parameters"/>
      <sheetName val="Release Calcs"/>
      <sheetName val="Release Results"/>
      <sheetName val="Scenario 1_Static"/>
      <sheetName val="Scenario 2_Static"/>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ReadMe"/>
      <sheetName val="Release Summary"/>
      <sheetName val="Release Point Summary"/>
      <sheetName val="Release Parameters"/>
      <sheetName val="Release Calcs"/>
      <sheetName val="Release Results"/>
      <sheetName val="Static Release Results"/>
      <sheetName val="NAICS Codes"/>
    </sheetNames>
    <sheetDataSet>
      <sheetData sheetId="0" refreshError="1"/>
      <sheetData sheetId="1" refreshError="1"/>
      <sheetData sheetId="2" refreshError="1"/>
      <sheetData sheetId="3" refreshError="1"/>
      <sheetData sheetId="4">
        <row r="6">
          <cell r="L6" t="e">
            <v>#NAME?</v>
          </cell>
          <cell r="P6" t="str">
            <v>On</v>
          </cell>
        </row>
        <row r="7">
          <cell r="P7" t="str">
            <v>Off</v>
          </cell>
        </row>
        <row r="9">
          <cell r="L9" t="e">
            <v>#NAME?</v>
          </cell>
        </row>
        <row r="10">
          <cell r="L10" t="e">
            <v>#NAME?</v>
          </cell>
        </row>
        <row r="15">
          <cell r="D15">
            <v>1</v>
          </cell>
        </row>
        <row r="18">
          <cell r="D18">
            <v>1</v>
          </cell>
        </row>
        <row r="20">
          <cell r="D20">
            <v>20</v>
          </cell>
        </row>
        <row r="22">
          <cell r="D22">
            <v>5.08</v>
          </cell>
        </row>
        <row r="23">
          <cell r="D23">
            <v>331</v>
          </cell>
        </row>
        <row r="24">
          <cell r="D24">
            <v>1256.5</v>
          </cell>
        </row>
        <row r="28">
          <cell r="D28">
            <v>2.2046199999999998</v>
          </cell>
        </row>
        <row r="30">
          <cell r="D30">
            <v>3.7854099999999999E-3</v>
          </cell>
        </row>
      </sheetData>
      <sheetData sheetId="5">
        <row r="6">
          <cell r="E6" t="e">
            <v>#NAME?</v>
          </cell>
        </row>
        <row r="7">
          <cell r="E7" t="e">
            <v>#NAME?</v>
          </cell>
        </row>
        <row r="8">
          <cell r="E8" t="e">
            <v>#NAME?</v>
          </cell>
        </row>
        <row r="9">
          <cell r="E9" t="e">
            <v>#NAME?</v>
          </cell>
        </row>
        <row r="10">
          <cell r="E10" t="e">
            <v>#NAME?</v>
          </cell>
        </row>
        <row r="11">
          <cell r="E11" t="e">
            <v>#NAME?</v>
          </cell>
        </row>
        <row r="12">
          <cell r="E12" t="e">
            <v>#NAME?</v>
          </cell>
        </row>
        <row r="13">
          <cell r="E13" t="e">
            <v>#NAME?</v>
          </cell>
        </row>
        <row r="14">
          <cell r="E14" t="e">
            <v>#NAME?</v>
          </cell>
        </row>
        <row r="15">
          <cell r="E15" t="e">
            <v>#NAME?</v>
          </cell>
        </row>
        <row r="16">
          <cell r="E16" t="e">
            <v>#NAME?</v>
          </cell>
        </row>
        <row r="17">
          <cell r="E17" t="e">
            <v>#NAME?</v>
          </cell>
        </row>
        <row r="18">
          <cell r="E18" t="e">
            <v>#NAME?</v>
          </cell>
        </row>
      </sheetData>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B046-2DA2-4089-8A5D-C5E855CB26CE}">
  <sheetPr codeName="Sheet1"/>
  <dimension ref="A1:E23"/>
  <sheetViews>
    <sheetView showGridLines="0" tabSelected="1" zoomScaleNormal="100" workbookViewId="0"/>
  </sheetViews>
  <sheetFormatPr defaultRowHeight="14.5" x14ac:dyDescent="0.35"/>
  <cols>
    <col min="1" max="1" width="112.7265625" style="16" customWidth="1"/>
    <col min="2" max="16384" width="8.7265625" style="16"/>
  </cols>
  <sheetData>
    <row r="1" spans="1:5" x14ac:dyDescent="0.35">
      <c r="A1" s="15" t="s">
        <v>0</v>
      </c>
    </row>
    <row r="2" spans="1:5" x14ac:dyDescent="0.35">
      <c r="A2" s="15" t="s">
        <v>367</v>
      </c>
    </row>
    <row r="5" spans="1:5" ht="50.5" customHeight="1" x14ac:dyDescent="0.35">
      <c r="A5" s="17" t="s">
        <v>368</v>
      </c>
      <c r="B5" s="17"/>
      <c r="C5" s="17"/>
      <c r="D5" s="17"/>
      <c r="E5" s="17"/>
    </row>
    <row r="6" spans="1:5" x14ac:dyDescent="0.35">
      <c r="A6" s="18"/>
    </row>
    <row r="7" spans="1:5" ht="17.5" x14ac:dyDescent="0.35">
      <c r="A7" s="19" t="s">
        <v>369</v>
      </c>
    </row>
    <row r="8" spans="1:5" ht="15.5" x14ac:dyDescent="0.35">
      <c r="A8" s="20"/>
    </row>
    <row r="9" spans="1:5" x14ac:dyDescent="0.35">
      <c r="A9" s="18"/>
    </row>
    <row r="10" spans="1:5" x14ac:dyDescent="0.35">
      <c r="A10" s="18"/>
    </row>
    <row r="11" spans="1:5" x14ac:dyDescent="0.35">
      <c r="A11" s="18"/>
    </row>
    <row r="12" spans="1:5" x14ac:dyDescent="0.35">
      <c r="A12" s="18"/>
    </row>
    <row r="13" spans="1:5" x14ac:dyDescent="0.35">
      <c r="A13" s="18"/>
    </row>
    <row r="14" spans="1:5" x14ac:dyDescent="0.35">
      <c r="A14" s="18"/>
    </row>
    <row r="17" spans="1:1" ht="15.5" x14ac:dyDescent="0.35">
      <c r="A17" s="21"/>
    </row>
    <row r="22" spans="1:1" ht="15.5" x14ac:dyDescent="0.35">
      <c r="A22" s="22"/>
    </row>
    <row r="23" spans="1:1" ht="15.5" x14ac:dyDescent="0.35">
      <c r="A23" s="22" t="s">
        <v>363</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21505"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2150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CE4C-9CBA-419B-B659-9F85D1A0D476}">
  <sheetPr codeName="Sheet10"/>
  <dimension ref="A1:C6"/>
  <sheetViews>
    <sheetView workbookViewId="0"/>
  </sheetViews>
  <sheetFormatPr defaultRowHeight="14.5" x14ac:dyDescent="0.35"/>
  <cols>
    <col min="1" max="1" width="10.81640625" style="16" bestFit="1" customWidth="1"/>
    <col min="2" max="2" width="33.81640625" style="16" bestFit="1" customWidth="1"/>
    <col min="3" max="3" width="18.54296875" style="16" bestFit="1" customWidth="1"/>
    <col min="4" max="16384" width="8.7265625" style="16"/>
  </cols>
  <sheetData>
    <row r="1" spans="1:3" x14ac:dyDescent="0.35">
      <c r="A1" s="226" t="s">
        <v>356</v>
      </c>
      <c r="B1" s="226" t="s">
        <v>357</v>
      </c>
      <c r="C1" s="226" t="s">
        <v>358</v>
      </c>
    </row>
    <row r="2" spans="1:3" x14ac:dyDescent="0.35">
      <c r="A2" s="144">
        <v>238310</v>
      </c>
      <c r="B2" s="144" t="s">
        <v>359</v>
      </c>
      <c r="C2" s="144">
        <v>18334</v>
      </c>
    </row>
    <row r="3" spans="1:3" x14ac:dyDescent="0.35">
      <c r="A3" s="144">
        <v>238160</v>
      </c>
      <c r="B3" s="144" t="s">
        <v>360</v>
      </c>
      <c r="C3" s="144">
        <v>19396</v>
      </c>
    </row>
    <row r="4" spans="1:3" x14ac:dyDescent="0.35">
      <c r="A4" s="144">
        <v>238390</v>
      </c>
      <c r="B4" s="144" t="s">
        <v>361</v>
      </c>
      <c r="C4" s="144">
        <v>6799</v>
      </c>
    </row>
    <row r="5" spans="1:3" x14ac:dyDescent="0.35">
      <c r="A5" s="144">
        <v>238290</v>
      </c>
      <c r="B5" s="144" t="s">
        <v>362</v>
      </c>
      <c r="C5" s="144">
        <v>7377</v>
      </c>
    </row>
    <row r="6" spans="1:3" x14ac:dyDescent="0.35">
      <c r="C6" s="16">
        <f>SUM(C2:C5)</f>
        <v>51906</v>
      </c>
    </row>
  </sheetData>
  <sheetProtection sheet="1" objects="1" scenarios="1" formatCells="0" formatColumns="0" formatRows="0" sort="0" autoFilter="0"/>
  <autoFilter ref="A1:C6" xr:uid="{22BDCE4C-9CBA-419B-B659-9F85D1A0D476}"/>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C21"/>
  <sheetViews>
    <sheetView workbookViewId="0"/>
  </sheetViews>
  <sheetFormatPr defaultColWidth="8.81640625" defaultRowHeight="14.5" x14ac:dyDescent="0.35"/>
  <cols>
    <col min="1" max="1" width="3.26953125" style="24" customWidth="1"/>
    <col min="2" max="2" width="26.26953125" style="24" customWidth="1"/>
    <col min="3" max="3" width="108.7265625" style="24" customWidth="1"/>
    <col min="4" max="16384" width="8.81640625" style="24"/>
  </cols>
  <sheetData>
    <row r="2" spans="2:3" s="24" customFormat="1" ht="21" x14ac:dyDescent="0.5">
      <c r="B2" s="23" t="s">
        <v>1</v>
      </c>
    </row>
    <row r="4" spans="2:3" s="24" customFormat="1" ht="24" thickBot="1" x14ac:dyDescent="0.6">
      <c r="B4" s="13" t="s">
        <v>2</v>
      </c>
      <c r="C4" s="13"/>
    </row>
    <row r="5" spans="2:3" s="24" customFormat="1" ht="20.5" thickTop="1" thickBot="1" x14ac:dyDescent="0.5">
      <c r="B5" s="1" t="s">
        <v>3</v>
      </c>
      <c r="C5" s="2" t="s">
        <v>4</v>
      </c>
    </row>
    <row r="6" spans="2:3" s="24" customFormat="1" ht="15" thickTop="1" x14ac:dyDescent="0.35">
      <c r="B6" s="3" t="s">
        <v>364</v>
      </c>
      <c r="C6" s="4" t="s">
        <v>365</v>
      </c>
    </row>
    <row r="7" spans="2:3" s="24" customFormat="1" ht="29" x14ac:dyDescent="0.35">
      <c r="B7" s="5" t="s">
        <v>5</v>
      </c>
      <c r="C7" s="6" t="s">
        <v>6</v>
      </c>
    </row>
    <row r="8" spans="2:3" s="24" customFormat="1" ht="43.5" x14ac:dyDescent="0.35">
      <c r="B8" s="5" t="s">
        <v>7</v>
      </c>
      <c r="C8" s="7" t="s">
        <v>8</v>
      </c>
    </row>
    <row r="9" spans="2:3" s="24" customFormat="1" ht="78.75" customHeight="1" x14ac:dyDescent="0.35">
      <c r="B9" s="5" t="s">
        <v>9</v>
      </c>
      <c r="C9" s="6" t="s">
        <v>10</v>
      </c>
    </row>
    <row r="10" spans="2:3" s="24" customFormat="1" ht="55.5" customHeight="1" thickBot="1" x14ac:dyDescent="0.4">
      <c r="B10" s="8" t="s">
        <v>11</v>
      </c>
      <c r="C10" s="6" t="s">
        <v>12</v>
      </c>
    </row>
    <row r="11" spans="2:3" s="24" customFormat="1" ht="15" thickBot="1" x14ac:dyDescent="0.4">
      <c r="B11" s="8" t="s">
        <v>13</v>
      </c>
      <c r="C11" s="9" t="s">
        <v>14</v>
      </c>
    </row>
    <row r="12" spans="2:3" s="24" customFormat="1" ht="29.5" customHeight="1" thickBot="1" x14ac:dyDescent="0.4">
      <c r="B12" s="8" t="s">
        <v>15</v>
      </c>
      <c r="C12" s="10" t="s">
        <v>16</v>
      </c>
    </row>
    <row r="13" spans="2:3" s="24" customFormat="1" ht="15" thickBot="1" x14ac:dyDescent="0.4">
      <c r="B13" s="8" t="s">
        <v>17</v>
      </c>
      <c r="C13" s="11" t="s">
        <v>18</v>
      </c>
    </row>
    <row r="16" spans="2:3" s="24" customFormat="1" ht="30.75" customHeight="1" x14ac:dyDescent="0.35">
      <c r="B16" s="14" t="s">
        <v>19</v>
      </c>
      <c r="C16" s="14"/>
    </row>
    <row r="17" spans="2:3" s="24" customFormat="1" ht="59.25" customHeight="1" x14ac:dyDescent="0.35">
      <c r="B17" s="25" t="s">
        <v>20</v>
      </c>
      <c r="C17" s="26"/>
    </row>
    <row r="18" spans="2:3" s="24" customFormat="1" ht="54" customHeight="1" x14ac:dyDescent="0.35">
      <c r="B18" s="25" t="s">
        <v>21</v>
      </c>
      <c r="C18" s="26"/>
    </row>
    <row r="19" spans="2:3" s="24" customFormat="1" ht="71.25" customHeight="1" x14ac:dyDescent="0.35">
      <c r="B19" s="27" t="s">
        <v>22</v>
      </c>
      <c r="C19" s="27"/>
    </row>
    <row r="20" spans="2:3" s="24" customFormat="1" x14ac:dyDescent="0.35">
      <c r="B20" s="28" t="s">
        <v>366</v>
      </c>
      <c r="C20" s="28"/>
    </row>
    <row r="21" spans="2:3" s="24" customFormat="1" x14ac:dyDescent="0.35">
      <c r="B21" s="29"/>
      <c r="C21" s="29"/>
    </row>
  </sheetData>
  <sheetProtection sheet="1" objects="1" scenarios="1" formatCells="0" formatColumns="0" formatRows="0" sort="0" autoFilter="0"/>
  <autoFilter ref="B2:C21" xr:uid="{00000000-0001-0000-0000-000000000000}"/>
  <mergeCells count="7">
    <mergeCell ref="B21:C21"/>
    <mergeCell ref="B20:C20"/>
    <mergeCell ref="B19:C19"/>
    <mergeCell ref="B4:C4"/>
    <mergeCell ref="B16:C16"/>
    <mergeCell ref="B17:C17"/>
    <mergeCell ref="B18:C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33106-81D3-445C-BDBC-5EAE82BD24B6}">
  <sheetPr codeName="Sheet3">
    <tabColor theme="9" tint="0.39997558519241921"/>
  </sheetPr>
  <dimension ref="A1:K29"/>
  <sheetViews>
    <sheetView zoomScaleNormal="100" workbookViewId="0"/>
  </sheetViews>
  <sheetFormatPr defaultColWidth="8.7265625" defaultRowHeight="14.5" x14ac:dyDescent="0.35"/>
  <cols>
    <col min="1" max="1" width="42.54296875" style="24" customWidth="1"/>
    <col min="2" max="2" width="31.7265625" style="24" customWidth="1"/>
    <col min="3" max="4" width="10.81640625" style="24" customWidth="1"/>
    <col min="5" max="6" width="15.26953125" style="31" customWidth="1"/>
    <col min="7" max="8" width="10.81640625" style="31" customWidth="1"/>
    <col min="9" max="10" width="15.26953125" style="31" customWidth="1"/>
    <col min="11" max="11" width="10.453125" style="24" customWidth="1"/>
    <col min="12" max="16384" width="8.7265625" style="24"/>
  </cols>
  <sheetData>
    <row r="1" spans="1:10" x14ac:dyDescent="0.35">
      <c r="A1" s="30" t="s">
        <v>23</v>
      </c>
    </row>
    <row r="2" spans="1:10" x14ac:dyDescent="0.35">
      <c r="A2" s="30"/>
    </row>
    <row r="3" spans="1:10" x14ac:dyDescent="0.35">
      <c r="A3" s="32" t="s">
        <v>24</v>
      </c>
    </row>
    <row r="4" spans="1:10" x14ac:dyDescent="0.35">
      <c r="A4" s="33" t="s">
        <v>25</v>
      </c>
      <c r="B4" s="33"/>
    </row>
    <row r="5" spans="1:10" x14ac:dyDescent="0.35">
      <c r="A5" s="30"/>
    </row>
    <row r="6" spans="1:10" x14ac:dyDescent="0.35">
      <c r="A6" s="34" t="s">
        <v>26</v>
      </c>
      <c r="E6" s="30"/>
      <c r="F6" s="30"/>
      <c r="G6" s="30"/>
      <c r="H6" s="30"/>
      <c r="I6" s="30"/>
      <c r="J6" s="30"/>
    </row>
    <row r="7" spans="1:10" x14ac:dyDescent="0.35">
      <c r="A7" s="35" t="s">
        <v>27</v>
      </c>
      <c r="B7" s="35" t="s">
        <v>28</v>
      </c>
      <c r="C7" s="35" t="s">
        <v>29</v>
      </c>
      <c r="D7" s="36"/>
      <c r="E7" s="35" t="s">
        <v>30</v>
      </c>
      <c r="F7" s="35"/>
      <c r="G7" s="35" t="s">
        <v>31</v>
      </c>
      <c r="H7" s="35"/>
      <c r="I7" s="35" t="s">
        <v>32</v>
      </c>
      <c r="J7" s="35"/>
    </row>
    <row r="8" spans="1:10" ht="29.15" customHeight="1" x14ac:dyDescent="0.35">
      <c r="A8" s="35"/>
      <c r="B8" s="35"/>
      <c r="C8" s="37" t="s">
        <v>33</v>
      </c>
      <c r="D8" s="37" t="s">
        <v>34</v>
      </c>
      <c r="E8" s="38" t="s">
        <v>33</v>
      </c>
      <c r="F8" s="38" t="s">
        <v>34</v>
      </c>
      <c r="G8" s="38" t="s">
        <v>33</v>
      </c>
      <c r="H8" s="38" t="s">
        <v>34</v>
      </c>
      <c r="I8" s="38" t="s">
        <v>33</v>
      </c>
      <c r="J8" s="38" t="s">
        <v>34</v>
      </c>
    </row>
    <row r="9" spans="1:10" x14ac:dyDescent="0.35">
      <c r="A9" s="39" t="s">
        <v>35</v>
      </c>
      <c r="B9" s="40" t="s">
        <v>36</v>
      </c>
      <c r="C9" s="41">
        <v>1</v>
      </c>
      <c r="D9" s="41">
        <v>1</v>
      </c>
      <c r="E9" s="42">
        <v>0.35096331139262066</v>
      </c>
      <c r="F9" s="42">
        <v>0.82315586444496092</v>
      </c>
      <c r="G9" s="41">
        <v>260</v>
      </c>
      <c r="H9" s="41">
        <v>260</v>
      </c>
      <c r="I9" s="42">
        <v>1.0528899341778619</v>
      </c>
      <c r="J9" s="42">
        <v>2.4694675933348829</v>
      </c>
    </row>
    <row r="10" spans="1:10" ht="29" x14ac:dyDescent="0.35">
      <c r="A10" s="39" t="s">
        <v>37</v>
      </c>
      <c r="B10" s="40" t="s">
        <v>38</v>
      </c>
      <c r="C10" s="43"/>
      <c r="D10" s="43"/>
      <c r="E10" s="42">
        <v>7.013092806079449E-2</v>
      </c>
      <c r="F10" s="42">
        <v>9.719900222010891E-2</v>
      </c>
      <c r="G10" s="43"/>
      <c r="H10" s="43"/>
      <c r="I10" s="42">
        <v>0.21039278418238347</v>
      </c>
      <c r="J10" s="42">
        <v>0.29159700666032673</v>
      </c>
    </row>
    <row r="11" spans="1:10" x14ac:dyDescent="0.35">
      <c r="A11" s="39" t="s">
        <v>39</v>
      </c>
      <c r="B11" s="40" t="s">
        <v>36</v>
      </c>
      <c r="C11" s="43"/>
      <c r="D11" s="43"/>
      <c r="E11" s="42">
        <v>0.12397939587692168</v>
      </c>
      <c r="F11" s="42">
        <v>0.21175552388584659</v>
      </c>
      <c r="G11" s="43"/>
      <c r="H11" s="43"/>
      <c r="I11" s="42">
        <v>0.37193818763076503</v>
      </c>
      <c r="J11" s="42">
        <v>0.63526657165753975</v>
      </c>
    </row>
    <row r="12" spans="1:10" ht="27.65" customHeight="1" x14ac:dyDescent="0.35">
      <c r="A12" s="39" t="s">
        <v>40</v>
      </c>
      <c r="B12" s="40" t="s">
        <v>41</v>
      </c>
      <c r="C12" s="43"/>
      <c r="D12" s="43"/>
      <c r="E12" s="42">
        <v>4.6753952040529664E-2</v>
      </c>
      <c r="F12" s="42">
        <v>7.3138337083844818E-2</v>
      </c>
      <c r="G12" s="43"/>
      <c r="H12" s="43"/>
      <c r="I12" s="42">
        <v>0.14026185612158898</v>
      </c>
      <c r="J12" s="42">
        <v>0.21941501125153445</v>
      </c>
    </row>
    <row r="13" spans="1:10" x14ac:dyDescent="0.35">
      <c r="A13" s="39" t="s">
        <v>42</v>
      </c>
      <c r="B13" s="40" t="s">
        <v>36</v>
      </c>
      <c r="C13" s="43"/>
      <c r="D13" s="43"/>
      <c r="E13" s="42">
        <v>0.12929252019769807</v>
      </c>
      <c r="F13" s="42">
        <v>0.27488403418864193</v>
      </c>
      <c r="G13" s="43"/>
      <c r="H13" s="43"/>
      <c r="I13" s="42">
        <v>0.38787756059309419</v>
      </c>
      <c r="J13" s="42">
        <v>0.8246521025659258</v>
      </c>
    </row>
    <row r="14" spans="1:10" x14ac:dyDescent="0.35">
      <c r="A14" s="39" t="s">
        <v>43</v>
      </c>
      <c r="B14" s="40" t="s">
        <v>44</v>
      </c>
      <c r="C14" s="43"/>
      <c r="D14" s="43"/>
      <c r="E14" s="42">
        <v>0.18701580816211866</v>
      </c>
      <c r="F14" s="42">
        <v>0.29255334833537927</v>
      </c>
      <c r="G14" s="43"/>
      <c r="H14" s="43"/>
      <c r="I14" s="42">
        <v>0.56104742448635592</v>
      </c>
      <c r="J14" s="42">
        <v>0.87766004500613781</v>
      </c>
    </row>
    <row r="15" spans="1:10" x14ac:dyDescent="0.35">
      <c r="A15" s="44" t="s">
        <v>45</v>
      </c>
      <c r="B15" s="45" t="s">
        <v>46</v>
      </c>
      <c r="C15" s="43"/>
      <c r="D15" s="43"/>
      <c r="E15" s="46">
        <v>0.64560931224816931</v>
      </c>
      <c r="F15" s="46">
        <v>1.02638398800645</v>
      </c>
      <c r="G15" s="43"/>
      <c r="H15" s="43"/>
      <c r="I15" s="46">
        <v>1.9368279367445078</v>
      </c>
      <c r="J15" s="46">
        <v>3.0791519640193474</v>
      </c>
    </row>
    <row r="16" spans="1:10" ht="29" x14ac:dyDescent="0.35">
      <c r="A16" s="47"/>
      <c r="B16" s="45" t="s">
        <v>47</v>
      </c>
      <c r="C16" s="48"/>
      <c r="D16" s="48"/>
      <c r="E16" s="46">
        <v>0.3039006882634428</v>
      </c>
      <c r="F16" s="46">
        <v>0.45823327590799556</v>
      </c>
      <c r="G16" s="48"/>
      <c r="H16" s="48"/>
      <c r="I16" s="46">
        <v>0.91170206479032845</v>
      </c>
      <c r="J16" s="46">
        <v>1.3746998277239868</v>
      </c>
    </row>
    <row r="19" spans="1:11" x14ac:dyDescent="0.35">
      <c r="A19" s="30" t="s">
        <v>48</v>
      </c>
    </row>
    <row r="20" spans="1:11" x14ac:dyDescent="0.35">
      <c r="A20" s="35" t="s">
        <v>27</v>
      </c>
      <c r="B20" s="35" t="s">
        <v>28</v>
      </c>
      <c r="C20" s="35" t="s">
        <v>29</v>
      </c>
      <c r="D20" s="36"/>
      <c r="E20" s="49" t="s">
        <v>49</v>
      </c>
      <c r="F20" s="35" t="s">
        <v>30</v>
      </c>
      <c r="G20" s="35"/>
      <c r="H20" s="35" t="s">
        <v>31</v>
      </c>
      <c r="I20" s="35"/>
      <c r="J20" s="35" t="s">
        <v>32</v>
      </c>
      <c r="K20" s="35"/>
    </row>
    <row r="21" spans="1:11" ht="29" x14ac:dyDescent="0.35">
      <c r="A21" s="35"/>
      <c r="B21" s="35"/>
      <c r="C21" s="37" t="s">
        <v>33</v>
      </c>
      <c r="D21" s="37" t="s">
        <v>34</v>
      </c>
      <c r="E21" s="50"/>
      <c r="F21" s="37" t="s">
        <v>33</v>
      </c>
      <c r="G21" s="37" t="s">
        <v>34</v>
      </c>
      <c r="H21" s="37" t="s">
        <v>33</v>
      </c>
      <c r="I21" s="37" t="s">
        <v>34</v>
      </c>
      <c r="J21" s="37" t="s">
        <v>33</v>
      </c>
      <c r="K21" s="37" t="s">
        <v>34</v>
      </c>
    </row>
    <row r="22" spans="1:11" x14ac:dyDescent="0.35">
      <c r="A22" s="51" t="s">
        <v>45</v>
      </c>
      <c r="B22" s="40" t="s">
        <v>46</v>
      </c>
      <c r="C22" s="52">
        <v>1</v>
      </c>
      <c r="D22" s="52">
        <v>1</v>
      </c>
      <c r="E22" s="53" t="s">
        <v>50</v>
      </c>
      <c r="F22" s="42">
        <f>E15</f>
        <v>0.64560931224816931</v>
      </c>
      <c r="G22" s="42">
        <f>F15</f>
        <v>1.02638398800645</v>
      </c>
      <c r="H22" s="52">
        <v>260</v>
      </c>
      <c r="I22" s="52">
        <v>260</v>
      </c>
      <c r="J22" s="42">
        <f>I15</f>
        <v>1.9368279367445078</v>
      </c>
      <c r="K22" s="42">
        <f>J15</f>
        <v>3.0791519640193474</v>
      </c>
    </row>
    <row r="23" spans="1:11" ht="29.15" customHeight="1" x14ac:dyDescent="0.35">
      <c r="A23" s="51"/>
      <c r="B23" s="40" t="s">
        <v>51</v>
      </c>
      <c r="C23" s="52"/>
      <c r="D23" s="52"/>
      <c r="E23" s="53" t="s">
        <v>50</v>
      </c>
      <c r="F23" s="42">
        <f>E16</f>
        <v>0.3039006882634428</v>
      </c>
      <c r="G23" s="42">
        <f>F16</f>
        <v>0.45823327590799556</v>
      </c>
      <c r="H23" s="52"/>
      <c r="I23" s="52"/>
      <c r="J23" s="42">
        <f>$I$16</f>
        <v>0.91170206479032845</v>
      </c>
      <c r="K23" s="42">
        <f>$J$16</f>
        <v>1.3746998277239868</v>
      </c>
    </row>
    <row r="24" spans="1:11" x14ac:dyDescent="0.35">
      <c r="A24" s="51"/>
      <c r="B24" s="54" t="s">
        <v>52</v>
      </c>
      <c r="C24" s="52"/>
      <c r="D24" s="52"/>
      <c r="E24" s="55">
        <v>0.73</v>
      </c>
      <c r="F24" s="42">
        <f>$E$16*0.27</f>
        <v>8.2053185831129555E-2</v>
      </c>
      <c r="G24" s="42">
        <f>$F$16*0.27</f>
        <v>0.12372298449515881</v>
      </c>
      <c r="H24" s="52"/>
      <c r="I24" s="52"/>
      <c r="J24" s="42">
        <f>$I$16*0.27</f>
        <v>0.24615955749338869</v>
      </c>
      <c r="K24" s="42">
        <f>$J$16*0.27</f>
        <v>0.37116895348547646</v>
      </c>
    </row>
    <row r="25" spans="1:11" x14ac:dyDescent="0.35">
      <c r="A25" s="51"/>
      <c r="B25" s="54" t="s">
        <v>53</v>
      </c>
      <c r="C25" s="52"/>
      <c r="D25" s="52"/>
      <c r="E25" s="56" t="s">
        <v>50</v>
      </c>
      <c r="F25" s="42">
        <f>$E$16</f>
        <v>0.3039006882634428</v>
      </c>
      <c r="G25" s="42">
        <f>$F$16</f>
        <v>0.45823327590799556</v>
      </c>
      <c r="H25" s="52"/>
      <c r="I25" s="52"/>
      <c r="J25" s="42">
        <f>$I$16</f>
        <v>0.91170206479032845</v>
      </c>
      <c r="K25" s="42">
        <f>$J$16</f>
        <v>1.3746998277239868</v>
      </c>
    </row>
    <row r="26" spans="1:11" x14ac:dyDescent="0.35">
      <c r="A26" s="51"/>
      <c r="B26" s="54" t="s">
        <v>54</v>
      </c>
      <c r="C26" s="52"/>
      <c r="D26" s="52"/>
      <c r="E26" s="57">
        <v>0.99990000000000001</v>
      </c>
      <c r="F26" s="42">
        <f>$E$16*0.0001</f>
        <v>3.0390068826344281E-5</v>
      </c>
      <c r="G26" s="42">
        <f>$F$16*0.0001</f>
        <v>4.5823327590799558E-5</v>
      </c>
      <c r="H26" s="52"/>
      <c r="I26" s="52"/>
      <c r="J26" s="42">
        <f>$I$16*0.0001</f>
        <v>9.1170206479032856E-5</v>
      </c>
      <c r="K26" s="42">
        <f>$J$16*0.0001</f>
        <v>1.3746998277239868E-4</v>
      </c>
    </row>
    <row r="27" spans="1:11" x14ac:dyDescent="0.35">
      <c r="A27" s="58"/>
      <c r="B27" s="59"/>
      <c r="C27" s="60"/>
      <c r="D27" s="60"/>
      <c r="E27" s="61"/>
      <c r="F27" s="62"/>
      <c r="G27" s="62"/>
      <c r="H27" s="60"/>
      <c r="I27" s="60"/>
      <c r="J27" s="62"/>
      <c r="K27" s="62"/>
    </row>
    <row r="28" spans="1:11" ht="16.5" x14ac:dyDescent="0.35">
      <c r="A28" s="24" t="s">
        <v>55</v>
      </c>
      <c r="E28" s="61"/>
    </row>
    <row r="29" spans="1:11" ht="95.15" customHeight="1" x14ac:dyDescent="0.35">
      <c r="A29" s="63" t="s">
        <v>56</v>
      </c>
      <c r="B29" s="64"/>
      <c r="C29" s="64"/>
      <c r="D29" s="64"/>
      <c r="E29" s="64"/>
      <c r="F29" s="64"/>
      <c r="G29" s="64"/>
      <c r="H29" s="64"/>
      <c r="I29" s="64"/>
    </row>
  </sheetData>
  <sheetProtection sheet="1" objects="1" scenarios="1" formatCells="0" formatColumns="0" formatRows="0" sort="0" autoFilter="0"/>
  <autoFilter ref="A1:K29" xr:uid="{1BA33106-81D3-445C-BDBC-5EAE82BD24B6}"/>
  <mergeCells count="25">
    <mergeCell ref="B7:B8"/>
    <mergeCell ref="C7:D7"/>
    <mergeCell ref="E7:F7"/>
    <mergeCell ref="G7:H7"/>
    <mergeCell ref="A15:A16"/>
    <mergeCell ref="C9:C16"/>
    <mergeCell ref="D9:D16"/>
    <mergeCell ref="G9:G16"/>
    <mergeCell ref="H9:H16"/>
    <mergeCell ref="A4:B4"/>
    <mergeCell ref="J20:K20"/>
    <mergeCell ref="H22:H26"/>
    <mergeCell ref="I22:I26"/>
    <mergeCell ref="A29:I29"/>
    <mergeCell ref="F20:G20"/>
    <mergeCell ref="H20:I20"/>
    <mergeCell ref="E20:E21"/>
    <mergeCell ref="A22:A26"/>
    <mergeCell ref="C22:C26"/>
    <mergeCell ref="D22:D26"/>
    <mergeCell ref="A20:A21"/>
    <mergeCell ref="B20:B21"/>
    <mergeCell ref="C20:D20"/>
    <mergeCell ref="I7:J7"/>
    <mergeCell ref="A7:A8"/>
  </mergeCells>
  <conditionalFormatting sqref="E9:F16">
    <cfRule type="cellIs" dxfId="30" priority="22" operator="greaterThanOrEqual">
      <formula>10000</formula>
    </cfRule>
    <cfRule type="cellIs" dxfId="29" priority="23" operator="greaterThanOrEqual">
      <formula>10</formula>
    </cfRule>
    <cfRule type="cellIs" dxfId="28" priority="24" operator="between">
      <formula>1</formula>
      <formula>9.999</formula>
    </cfRule>
    <cfRule type="cellIs" dxfId="27" priority="25" operator="between">
      <formula>0.1</formula>
      <formula>0.999</formula>
    </cfRule>
    <cfRule type="cellIs" dxfId="26" priority="26" operator="lessThanOrEqual">
      <formula>0.1</formula>
    </cfRule>
    <cfRule type="containsBlanks" dxfId="25" priority="27" stopIfTrue="1">
      <formula>LEN(TRIM(E9))=0</formula>
    </cfRule>
    <cfRule type="cellIs" dxfId="24" priority="28" operator="equal">
      <formula>0</formula>
    </cfRule>
  </conditionalFormatting>
  <conditionalFormatting sqref="F22:G27">
    <cfRule type="cellIs" dxfId="23" priority="8" operator="greaterThanOrEqual">
      <formula>10000</formula>
    </cfRule>
    <cfRule type="cellIs" dxfId="22" priority="9" operator="greaterThanOrEqual">
      <formula>10</formula>
    </cfRule>
    <cfRule type="cellIs" dxfId="21" priority="10" operator="between">
      <formula>1</formula>
      <formula>9.999</formula>
    </cfRule>
    <cfRule type="cellIs" dxfId="20" priority="11" operator="between">
      <formula>0.1</formula>
      <formula>0.999</formula>
    </cfRule>
    <cfRule type="cellIs" dxfId="19" priority="12" operator="lessThanOrEqual">
      <formula>0.1</formula>
    </cfRule>
    <cfRule type="containsBlanks" dxfId="18" priority="13" stopIfTrue="1">
      <formula>LEN(TRIM(F22))=0</formula>
    </cfRule>
    <cfRule type="cellIs" dxfId="17" priority="14" operator="equal">
      <formula>0</formula>
    </cfRule>
  </conditionalFormatting>
  <conditionalFormatting sqref="I9:J16">
    <cfRule type="cellIs" dxfId="16" priority="15" operator="greaterThanOrEqual">
      <formula>10000</formula>
    </cfRule>
    <cfRule type="cellIs" dxfId="15" priority="16" operator="greaterThanOrEqual">
      <formula>10</formula>
    </cfRule>
    <cfRule type="cellIs" dxfId="14" priority="17" operator="between">
      <formula>1</formula>
      <formula>9.999</formula>
    </cfRule>
    <cfRule type="cellIs" dxfId="13" priority="18" operator="between">
      <formula>0.1</formula>
      <formula>0.999</formula>
    </cfRule>
    <cfRule type="cellIs" dxfId="12" priority="19" operator="lessThanOrEqual">
      <formula>0.1</formula>
    </cfRule>
    <cfRule type="containsBlanks" dxfId="11" priority="20" stopIfTrue="1">
      <formula>LEN(TRIM(I9))=0</formula>
    </cfRule>
    <cfRule type="cellIs" dxfId="10" priority="21" operator="equal">
      <formula>0</formula>
    </cfRule>
  </conditionalFormatting>
  <conditionalFormatting sqref="J22:K27">
    <cfRule type="cellIs" dxfId="9" priority="1" operator="greaterThanOrEqual">
      <formula>10000</formula>
    </cfRule>
    <cfRule type="cellIs" dxfId="8" priority="2" operator="greaterThanOrEqual">
      <formula>10</formula>
    </cfRule>
    <cfRule type="cellIs" dxfId="7" priority="3" operator="between">
      <formula>1</formula>
      <formula>9.999</formula>
    </cfRule>
    <cfRule type="cellIs" dxfId="6" priority="4" operator="between">
      <formula>0.1</formula>
      <formula>0.999</formula>
    </cfRule>
    <cfRule type="cellIs" dxfId="5" priority="5" operator="lessThanOrEqual">
      <formula>0.1</formula>
    </cfRule>
    <cfRule type="containsBlanks" dxfId="4" priority="6" stopIfTrue="1">
      <formula>LEN(TRIM(J22))=0</formula>
    </cfRule>
    <cfRule type="cellIs" dxfId="3" priority="7" operator="equal">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7823-6198-4B91-B677-AFCD25E2B335}">
  <sheetPr codeName="Sheet4"/>
  <dimension ref="A1:M15"/>
  <sheetViews>
    <sheetView workbookViewId="0">
      <selection sqref="A1:M1"/>
    </sheetView>
  </sheetViews>
  <sheetFormatPr defaultRowHeight="14.5" x14ac:dyDescent="0.35"/>
  <cols>
    <col min="1" max="1" width="21.453125" style="16" customWidth="1"/>
    <col min="2" max="2" width="17.1796875" style="16" customWidth="1"/>
    <col min="3" max="3" width="14.7265625" style="16" customWidth="1"/>
    <col min="4" max="4" width="13.1796875" style="16" customWidth="1"/>
    <col min="5" max="5" width="18.1796875" style="16" bestFit="1" customWidth="1"/>
    <col min="6" max="6" width="21.81640625" style="16" customWidth="1"/>
    <col min="7" max="7" width="17.1796875" style="16" customWidth="1"/>
    <col min="8" max="8" width="23.1796875" style="16" customWidth="1"/>
    <col min="9" max="9" width="17.81640625" style="16" customWidth="1"/>
    <col min="10" max="10" width="15.7265625" style="16" customWidth="1"/>
    <col min="11" max="11" width="14.7265625" style="16" customWidth="1"/>
    <col min="12" max="12" width="13.54296875" style="16" customWidth="1"/>
    <col min="13" max="13" width="12.453125" style="16" customWidth="1"/>
    <col min="14" max="16384" width="8.7265625" style="16"/>
  </cols>
  <sheetData>
    <row r="1" spans="1:13" ht="15.75" customHeight="1" thickBot="1" x14ac:dyDescent="0.4">
      <c r="A1" s="65" t="s">
        <v>71</v>
      </c>
      <c r="B1" s="65"/>
      <c r="C1" s="65"/>
      <c r="D1" s="65"/>
      <c r="E1" s="65"/>
      <c r="F1" s="65"/>
      <c r="G1" s="65"/>
      <c r="H1" s="65"/>
      <c r="I1" s="65"/>
      <c r="J1" s="65"/>
      <c r="K1" s="65"/>
      <c r="L1" s="65"/>
      <c r="M1" s="65"/>
    </row>
    <row r="2" spans="1:13" ht="33" customHeight="1" x14ac:dyDescent="0.35">
      <c r="A2" s="66" t="s">
        <v>72</v>
      </c>
      <c r="B2" s="67" t="s">
        <v>35</v>
      </c>
      <c r="C2" s="68"/>
      <c r="D2" s="69" t="s">
        <v>37</v>
      </c>
      <c r="E2" s="68"/>
      <c r="F2" s="69" t="s">
        <v>39</v>
      </c>
      <c r="G2" s="68"/>
      <c r="H2" s="67" t="s">
        <v>40</v>
      </c>
      <c r="I2" s="68"/>
      <c r="J2" s="69" t="s">
        <v>42</v>
      </c>
      <c r="K2" s="68"/>
      <c r="L2" s="69" t="s">
        <v>43</v>
      </c>
      <c r="M2" s="68"/>
    </row>
    <row r="3" spans="1:13" ht="29.5" thickBot="1" x14ac:dyDescent="0.4">
      <c r="A3" s="70" t="s">
        <v>73</v>
      </c>
      <c r="B3" s="71" t="s">
        <v>36</v>
      </c>
      <c r="C3" s="72"/>
      <c r="D3" s="73" t="s">
        <v>38</v>
      </c>
      <c r="E3" s="74"/>
      <c r="F3" s="73" t="s">
        <v>36</v>
      </c>
      <c r="G3" s="74"/>
      <c r="H3" s="75" t="s">
        <v>41</v>
      </c>
      <c r="I3" s="74"/>
      <c r="J3" s="73" t="s">
        <v>36</v>
      </c>
      <c r="K3" s="74"/>
      <c r="L3" s="73" t="s">
        <v>44</v>
      </c>
      <c r="M3" s="74"/>
    </row>
    <row r="4" spans="1:13" ht="58" x14ac:dyDescent="0.35">
      <c r="A4" s="76" t="s">
        <v>74</v>
      </c>
      <c r="B4" s="77" t="s">
        <v>75</v>
      </c>
      <c r="C4" s="78" t="s">
        <v>76</v>
      </c>
      <c r="D4" s="77" t="s">
        <v>77</v>
      </c>
      <c r="E4" s="78" t="s">
        <v>78</v>
      </c>
      <c r="F4" s="79" t="s">
        <v>79</v>
      </c>
      <c r="G4" s="80" t="s">
        <v>80</v>
      </c>
      <c r="H4" s="81" t="s">
        <v>81</v>
      </c>
      <c r="I4" s="82" t="s">
        <v>82</v>
      </c>
      <c r="J4" s="77" t="s">
        <v>81</v>
      </c>
      <c r="K4" s="83" t="s">
        <v>82</v>
      </c>
      <c r="L4" s="77" t="s">
        <v>81</v>
      </c>
      <c r="M4" s="83" t="s">
        <v>82</v>
      </c>
    </row>
    <row r="5" spans="1:13" ht="102" thickBot="1" x14ac:dyDescent="0.4">
      <c r="A5" s="84"/>
      <c r="B5" s="85" t="s">
        <v>83</v>
      </c>
      <c r="C5" s="86" t="s">
        <v>84</v>
      </c>
      <c r="D5" s="87" t="s">
        <v>85</v>
      </c>
      <c r="E5" s="88" t="s">
        <v>86</v>
      </c>
      <c r="F5" s="89" t="s">
        <v>83</v>
      </c>
      <c r="G5" s="90" t="s">
        <v>87</v>
      </c>
      <c r="H5" s="91" t="s">
        <v>88</v>
      </c>
      <c r="I5" s="92" t="s">
        <v>89</v>
      </c>
      <c r="J5" s="93" t="s">
        <v>90</v>
      </c>
      <c r="K5" s="94" t="s">
        <v>91</v>
      </c>
      <c r="L5" s="93" t="s">
        <v>92</v>
      </c>
      <c r="M5" s="94" t="s">
        <v>93</v>
      </c>
    </row>
    <row r="6" spans="1:13" ht="43.5" x14ac:dyDescent="0.35">
      <c r="A6" s="84"/>
      <c r="B6" s="87" t="s">
        <v>94</v>
      </c>
      <c r="C6" s="95" t="s">
        <v>95</v>
      </c>
      <c r="D6" s="96" t="s">
        <v>96</v>
      </c>
      <c r="E6" s="88" t="s">
        <v>97</v>
      </c>
      <c r="F6" s="89" t="s">
        <v>94</v>
      </c>
      <c r="G6" s="97" t="s">
        <v>95</v>
      </c>
      <c r="H6" s="84"/>
      <c r="I6" s="98"/>
      <c r="J6" s="84"/>
      <c r="K6" s="98"/>
      <c r="L6" s="84"/>
      <c r="M6" s="98"/>
    </row>
    <row r="7" spans="1:13" ht="72.5" x14ac:dyDescent="0.35">
      <c r="A7" s="84"/>
      <c r="B7" s="87" t="s">
        <v>29</v>
      </c>
      <c r="C7" s="95" t="s">
        <v>98</v>
      </c>
      <c r="D7" s="87" t="s">
        <v>99</v>
      </c>
      <c r="E7" s="88" t="s">
        <v>100</v>
      </c>
      <c r="F7" s="89" t="s">
        <v>29</v>
      </c>
      <c r="G7" s="97" t="s">
        <v>98</v>
      </c>
      <c r="H7" s="84"/>
      <c r="I7" s="99"/>
      <c r="J7" s="84"/>
      <c r="K7" s="84"/>
    </row>
    <row r="8" spans="1:13" ht="72.5" x14ac:dyDescent="0.35">
      <c r="A8" s="84"/>
      <c r="B8" s="87" t="s">
        <v>101</v>
      </c>
      <c r="C8" s="95" t="s">
        <v>102</v>
      </c>
      <c r="D8" s="87" t="s">
        <v>103</v>
      </c>
      <c r="E8" s="100" t="s">
        <v>104</v>
      </c>
      <c r="F8" s="89" t="s">
        <v>101</v>
      </c>
      <c r="G8" s="97" t="s">
        <v>102</v>
      </c>
      <c r="H8" s="84"/>
      <c r="I8" s="98"/>
      <c r="J8" s="84"/>
      <c r="K8" s="84"/>
    </row>
    <row r="9" spans="1:13" ht="58.5" thickBot="1" x14ac:dyDescent="0.4">
      <c r="A9" s="84"/>
      <c r="B9" s="87" t="s">
        <v>105</v>
      </c>
      <c r="C9" s="88" t="s">
        <v>106</v>
      </c>
      <c r="D9" s="93" t="s">
        <v>81</v>
      </c>
      <c r="E9" s="101" t="s">
        <v>82</v>
      </c>
      <c r="F9" s="89" t="s">
        <v>107</v>
      </c>
      <c r="G9" s="102" t="s">
        <v>108</v>
      </c>
      <c r="H9" s="84"/>
      <c r="I9" s="98"/>
      <c r="J9" s="84"/>
      <c r="K9" s="84"/>
    </row>
    <row r="10" spans="1:13" ht="29" x14ac:dyDescent="0.35">
      <c r="A10" s="84"/>
      <c r="B10" s="87" t="s">
        <v>77</v>
      </c>
      <c r="C10" s="102" t="s">
        <v>78</v>
      </c>
      <c r="D10" s="84"/>
      <c r="E10" s="84"/>
      <c r="F10" s="89" t="s">
        <v>109</v>
      </c>
      <c r="G10" s="102" t="s">
        <v>110</v>
      </c>
      <c r="H10" s="84"/>
      <c r="I10" s="98"/>
      <c r="J10" s="84"/>
      <c r="K10" s="84"/>
    </row>
    <row r="11" spans="1:13" ht="29.5" thickBot="1" x14ac:dyDescent="0.4">
      <c r="A11" s="84"/>
      <c r="B11" s="87" t="s">
        <v>107</v>
      </c>
      <c r="C11" s="102" t="s">
        <v>108</v>
      </c>
      <c r="D11" s="84"/>
      <c r="E11" s="84"/>
      <c r="F11" s="103" t="s">
        <v>111</v>
      </c>
      <c r="G11" s="94" t="s">
        <v>112</v>
      </c>
      <c r="H11" s="84"/>
      <c r="I11" s="98"/>
      <c r="J11" s="84"/>
      <c r="K11" s="84"/>
    </row>
    <row r="12" spans="1:13" ht="29.5" thickBot="1" x14ac:dyDescent="0.4">
      <c r="A12" s="84"/>
      <c r="B12" s="104" t="s">
        <v>111</v>
      </c>
      <c r="C12" s="105" t="s">
        <v>113</v>
      </c>
      <c r="D12" s="84"/>
      <c r="E12" s="84"/>
      <c r="F12" s="84"/>
      <c r="G12" s="84"/>
      <c r="H12" s="84"/>
      <c r="I12" s="84"/>
      <c r="J12" s="84"/>
      <c r="K12" s="84"/>
    </row>
    <row r="13" spans="1:13" x14ac:dyDescent="0.35">
      <c r="C13" s="98"/>
    </row>
    <row r="14" spans="1:13" x14ac:dyDescent="0.35">
      <c r="C14" s="98"/>
    </row>
    <row r="15" spans="1:13" x14ac:dyDescent="0.35">
      <c r="B15" s="84"/>
      <c r="C15" s="84"/>
    </row>
  </sheetData>
  <sheetProtection sheet="1" objects="1" scenarios="1" formatCells="0" formatColumns="0" formatRows="0" sort="0" autoFilter="0"/>
  <autoFilter ref="A1:M15" xr:uid="{9F927823-6198-4B91-B677-AFCD25E2B33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13">
    <mergeCell ref="L2:M2"/>
    <mergeCell ref="L3:M3"/>
    <mergeCell ref="A1:M1"/>
    <mergeCell ref="B2:C2"/>
    <mergeCell ref="D2:E2"/>
    <mergeCell ref="F2:G2"/>
    <mergeCell ref="H2:I2"/>
    <mergeCell ref="J2:K2"/>
    <mergeCell ref="B3:C3"/>
    <mergeCell ref="D3:E3"/>
    <mergeCell ref="F3:G3"/>
    <mergeCell ref="H3:I3"/>
    <mergeCell ref="J3: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0784-20D1-4CC1-A7F7-0EB87D541D1F}">
  <sheetPr codeName="Sheet5"/>
  <dimension ref="A1:I10"/>
  <sheetViews>
    <sheetView workbookViewId="0">
      <selection sqref="A1:A2"/>
    </sheetView>
  </sheetViews>
  <sheetFormatPr defaultRowHeight="14.5" x14ac:dyDescent="0.35"/>
  <cols>
    <col min="1" max="1" width="10" style="18" customWidth="1"/>
    <col min="2" max="2" width="42.81640625" style="84" customWidth="1"/>
    <col min="3" max="3" width="17" style="18" customWidth="1"/>
    <col min="4" max="4" width="17.453125" style="18" customWidth="1"/>
    <col min="5" max="5" width="17.7265625" style="18" customWidth="1"/>
    <col min="6" max="6" width="8.7265625" style="16"/>
    <col min="7" max="8" width="18.81640625" style="16" customWidth="1"/>
    <col min="9" max="9" width="41.7265625" style="16" customWidth="1"/>
    <col min="10" max="16384" width="8.7265625" style="16"/>
  </cols>
  <sheetData>
    <row r="1" spans="1:9" ht="15" customHeight="1" x14ac:dyDescent="0.35">
      <c r="A1" s="106" t="s">
        <v>57</v>
      </c>
      <c r="B1" s="107" t="s">
        <v>58</v>
      </c>
      <c r="C1" s="106" t="s">
        <v>59</v>
      </c>
      <c r="D1" s="106"/>
      <c r="E1" s="107" t="s">
        <v>60</v>
      </c>
    </row>
    <row r="2" spans="1:9" x14ac:dyDescent="0.35">
      <c r="A2" s="106"/>
      <c r="B2" s="107"/>
      <c r="C2" s="108" t="s">
        <v>61</v>
      </c>
      <c r="D2" s="108" t="s">
        <v>62</v>
      </c>
      <c r="E2" s="107"/>
      <c r="I2" s="109"/>
    </row>
    <row r="3" spans="1:9" x14ac:dyDescent="0.35">
      <c r="A3" s="110">
        <v>1</v>
      </c>
      <c r="B3" s="111" t="s">
        <v>63</v>
      </c>
      <c r="C3" s="110">
        <v>1</v>
      </c>
      <c r="D3" s="110">
        <v>5</v>
      </c>
      <c r="E3" s="112">
        <v>1.2565</v>
      </c>
      <c r="I3" s="109"/>
    </row>
    <row r="4" spans="1:9" x14ac:dyDescent="0.35">
      <c r="A4" s="110">
        <v>2</v>
      </c>
      <c r="B4" s="111" t="s">
        <v>64</v>
      </c>
      <c r="C4" s="110">
        <v>1</v>
      </c>
      <c r="D4" s="110">
        <v>5</v>
      </c>
      <c r="E4" s="112">
        <v>1.2565</v>
      </c>
    </row>
    <row r="5" spans="1:9" x14ac:dyDescent="0.35">
      <c r="A5" s="110">
        <v>3</v>
      </c>
      <c r="B5" s="111" t="s">
        <v>65</v>
      </c>
      <c r="C5" s="110">
        <v>1</v>
      </c>
      <c r="D5" s="110">
        <v>5</v>
      </c>
      <c r="E5" s="112">
        <v>1.2565</v>
      </c>
    </row>
    <row r="6" spans="1:9" x14ac:dyDescent="0.35">
      <c r="A6" s="110">
        <v>4</v>
      </c>
      <c r="B6" s="111" t="s">
        <v>66</v>
      </c>
      <c r="C6" s="110">
        <v>1</v>
      </c>
      <c r="D6" s="110">
        <v>5</v>
      </c>
      <c r="E6" s="112">
        <v>1.2565</v>
      </c>
    </row>
    <row r="7" spans="1:9" x14ac:dyDescent="0.35">
      <c r="A7" s="110">
        <v>5</v>
      </c>
      <c r="B7" s="111" t="s">
        <v>67</v>
      </c>
      <c r="C7" s="110">
        <v>2.75</v>
      </c>
      <c r="D7" s="110">
        <v>3.25</v>
      </c>
      <c r="E7" s="112">
        <v>1.2565</v>
      </c>
    </row>
    <row r="8" spans="1:9" x14ac:dyDescent="0.35">
      <c r="A8" s="110">
        <v>6</v>
      </c>
      <c r="B8" s="111" t="s">
        <v>68</v>
      </c>
      <c r="C8" s="110">
        <v>2.75</v>
      </c>
      <c r="D8" s="110">
        <v>3.25</v>
      </c>
      <c r="E8" s="112">
        <v>1.2565</v>
      </c>
    </row>
    <row r="9" spans="1:9" x14ac:dyDescent="0.35">
      <c r="A9" s="110">
        <v>7</v>
      </c>
      <c r="B9" s="111" t="s">
        <v>69</v>
      </c>
      <c r="C9" s="110">
        <v>2.75</v>
      </c>
      <c r="D9" s="110">
        <v>3.25</v>
      </c>
      <c r="E9" s="112">
        <v>1.2565</v>
      </c>
    </row>
    <row r="10" spans="1:9" x14ac:dyDescent="0.35">
      <c r="A10" s="110">
        <v>8</v>
      </c>
      <c r="B10" s="111" t="s">
        <v>70</v>
      </c>
      <c r="C10" s="110">
        <v>1</v>
      </c>
      <c r="D10" s="110">
        <v>3</v>
      </c>
      <c r="E10" s="112">
        <v>1.2565</v>
      </c>
    </row>
  </sheetData>
  <sheetProtection sheet="1" objects="1" scenarios="1" formatCells="0" formatColumns="0" formatRows="0" sort="0" autoFilter="0"/>
  <autoFilter ref="A1:I10" xr:uid="{0E000784-20D1-4CC1-A7F7-0EB87D541D1F}">
    <filterColumn colId="2" showButton="0"/>
  </autoFilter>
  <mergeCells count="4">
    <mergeCell ref="A1:A2"/>
    <mergeCell ref="B1:B2"/>
    <mergeCell ref="C1:D1"/>
    <mergeCell ref="E1:E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791B-FFF3-4B5E-89B2-5ABAA6FF9935}">
  <sheetPr codeName="Sheet6">
    <tabColor theme="9" tint="0.39997558519241921"/>
  </sheetPr>
  <dimension ref="B2:P315"/>
  <sheetViews>
    <sheetView workbookViewId="0"/>
  </sheetViews>
  <sheetFormatPr defaultColWidth="8.81640625" defaultRowHeight="14.5" x14ac:dyDescent="0.35"/>
  <cols>
    <col min="1" max="1" width="1.26953125" style="24" customWidth="1"/>
    <col min="2" max="2" width="40" style="24" customWidth="1"/>
    <col min="3" max="3" width="22.7265625" style="140" customWidth="1"/>
    <col min="4" max="4" width="22.7265625" style="24" customWidth="1"/>
    <col min="5" max="5" width="25.26953125" style="24" bestFit="1" customWidth="1"/>
    <col min="6" max="6" width="20.26953125" style="24" customWidth="1"/>
    <col min="7" max="9" width="11" style="24" customWidth="1"/>
    <col min="10" max="11" width="13.26953125" style="24" customWidth="1"/>
    <col min="12" max="12" width="15.1796875" style="24" customWidth="1"/>
    <col min="13" max="13" width="57" style="24" customWidth="1"/>
    <col min="14" max="14" width="8.81640625" style="24"/>
    <col min="15" max="15" width="8.453125" style="24" customWidth="1"/>
    <col min="16" max="16" width="12.7265625" style="24" customWidth="1"/>
    <col min="17" max="16384" width="8.81640625" style="24"/>
  </cols>
  <sheetData>
    <row r="2" spans="2:16" x14ac:dyDescent="0.35">
      <c r="B2" s="39" t="s">
        <v>114</v>
      </c>
      <c r="C2" s="113" t="s">
        <v>115</v>
      </c>
    </row>
    <row r="4" spans="2:16" s="119" customFormat="1" x14ac:dyDescent="0.35">
      <c r="B4" s="114" t="s">
        <v>116</v>
      </c>
      <c r="C4" s="115" t="s">
        <v>117</v>
      </c>
      <c r="D4" s="116" t="s">
        <v>118</v>
      </c>
      <c r="E4" s="117" t="s">
        <v>119</v>
      </c>
      <c r="F4" s="117"/>
      <c r="G4" s="116" t="s">
        <v>120</v>
      </c>
      <c r="H4" s="116"/>
      <c r="I4" s="116"/>
      <c r="J4" s="116" t="s">
        <v>121</v>
      </c>
      <c r="K4" s="118"/>
      <c r="L4" s="116" t="s">
        <v>122</v>
      </c>
      <c r="M4" s="116" t="s">
        <v>123</v>
      </c>
    </row>
    <row r="5" spans="2:16" s="119" customFormat="1" ht="29" x14ac:dyDescent="0.35">
      <c r="B5" s="114"/>
      <c r="C5" s="115"/>
      <c r="D5" s="116"/>
      <c r="E5" s="118" t="s">
        <v>124</v>
      </c>
      <c r="F5" s="118" t="s">
        <v>125</v>
      </c>
      <c r="G5" s="118" t="s">
        <v>126</v>
      </c>
      <c r="H5" s="118" t="s">
        <v>127</v>
      </c>
      <c r="I5" s="118" t="s">
        <v>128</v>
      </c>
      <c r="J5" s="116"/>
      <c r="K5" s="120" t="s">
        <v>129</v>
      </c>
      <c r="L5" s="116"/>
      <c r="M5" s="116"/>
      <c r="P5" s="121" t="s">
        <v>130</v>
      </c>
    </row>
    <row r="6" spans="2:16" ht="57" customHeight="1" x14ac:dyDescent="0.35">
      <c r="B6" s="122" t="s">
        <v>109</v>
      </c>
      <c r="C6" s="123" t="s">
        <v>110</v>
      </c>
      <c r="D6" s="124" t="s">
        <v>131</v>
      </c>
      <c r="E6" s="125">
        <v>10</v>
      </c>
      <c r="F6" s="125" t="s">
        <v>132</v>
      </c>
      <c r="G6" s="125">
        <v>1.3</v>
      </c>
      <c r="H6" s="125">
        <v>50.8</v>
      </c>
      <c r="I6" s="125" t="s">
        <v>133</v>
      </c>
      <c r="J6" s="125" t="s">
        <v>134</v>
      </c>
      <c r="K6" s="126" t="e">
        <f ca="1">_xll.RiskLognorm(10.853,7.8832,_xll.RiskTruncate(,202.2))</f>
        <v>#NAME?</v>
      </c>
      <c r="L6" s="127" t="e">
        <f t="shared" ref="L6:L7" ca="1" si="0">IF($C$2=$P$6, K6, E6)</f>
        <v>#NAME?</v>
      </c>
      <c r="M6" s="128" t="s">
        <v>135</v>
      </c>
      <c r="P6" s="31" t="s">
        <v>115</v>
      </c>
    </row>
    <row r="7" spans="2:16" ht="57" customHeight="1" x14ac:dyDescent="0.35">
      <c r="B7" s="129"/>
      <c r="C7" s="130"/>
      <c r="D7" s="124" t="s">
        <v>136</v>
      </c>
      <c r="E7" s="131">
        <f>E6*ft_per_cm*60</f>
        <v>19.68</v>
      </c>
      <c r="F7" s="125" t="s">
        <v>132</v>
      </c>
      <c r="G7" s="132">
        <f>G6*ft_per_cm*60</f>
        <v>2.5584000000000002</v>
      </c>
      <c r="H7" s="133">
        <f>H6*ft_per_cm*60</f>
        <v>99.974400000000003</v>
      </c>
      <c r="I7" s="125" t="s">
        <v>133</v>
      </c>
      <c r="J7" s="125" t="s">
        <v>134</v>
      </c>
      <c r="K7" s="134" t="e" cm="1">
        <f t="array" aca="1" ref="K7" ca="1">(K6*ft_per_cm*60)</f>
        <v>#NAME?</v>
      </c>
      <c r="L7" s="135" t="e">
        <f t="shared" ca="1" si="0"/>
        <v>#NAME?</v>
      </c>
      <c r="M7" s="136"/>
      <c r="P7" s="31" t="s">
        <v>137</v>
      </c>
    </row>
    <row r="8" spans="2:16" ht="57" customHeight="1" x14ac:dyDescent="0.35">
      <c r="B8" s="137" t="s">
        <v>138</v>
      </c>
      <c r="C8" s="138" t="s">
        <v>76</v>
      </c>
      <c r="D8" s="124" t="s">
        <v>139</v>
      </c>
      <c r="E8" s="139">
        <v>0.5</v>
      </c>
      <c r="F8" s="139" t="s">
        <v>140</v>
      </c>
      <c r="G8" s="139">
        <v>0.5</v>
      </c>
      <c r="H8" s="139">
        <v>1</v>
      </c>
      <c r="I8" s="125">
        <v>0.5</v>
      </c>
      <c r="J8" s="125" t="s">
        <v>141</v>
      </c>
      <c r="K8" s="125" t="e" cm="1">
        <f t="array" aca="1" ref="K8" ca="1">_xll.RiskTriang(G8,I8,H8,_xll.RiskStatic(E8))</f>
        <v>#NAME?</v>
      </c>
      <c r="L8" s="135" t="e">
        <f ca="1">IF($C$2=$P$6, K8, E8)</f>
        <v>#NAME?</v>
      </c>
      <c r="M8" s="124" t="s">
        <v>142</v>
      </c>
      <c r="P8" s="31"/>
    </row>
    <row r="9" spans="2:16" ht="57" customHeight="1" x14ac:dyDescent="0.35">
      <c r="B9" s="137" t="s">
        <v>90</v>
      </c>
      <c r="C9" s="138" t="s">
        <v>91</v>
      </c>
      <c r="D9" s="137" t="s">
        <v>143</v>
      </c>
      <c r="E9" s="139">
        <v>0.1</v>
      </c>
      <c r="F9" s="139" t="s">
        <v>144</v>
      </c>
      <c r="G9" s="139">
        <v>0.02</v>
      </c>
      <c r="H9" s="139">
        <v>0.1</v>
      </c>
      <c r="I9" s="125">
        <v>0.1</v>
      </c>
      <c r="J9" s="125" t="s">
        <v>145</v>
      </c>
      <c r="K9" s="125" t="e" cm="1">
        <f t="array" aca="1" ref="K9" ca="1">_xll.RiskUniform(G9, H9, _xll.RiskName(B9), _xll.RiskStatic(E9))</f>
        <v>#NAME?</v>
      </c>
      <c r="L9" s="135" t="e">
        <f ca="1">IF($C$2=$P$6, K9, E9)</f>
        <v>#NAME?</v>
      </c>
      <c r="M9" s="137" t="s">
        <v>146</v>
      </c>
      <c r="P9" s="31"/>
    </row>
    <row r="10" spans="2:16" ht="57" customHeight="1" x14ac:dyDescent="0.35">
      <c r="P10" s="31"/>
    </row>
    <row r="11" spans="2:16" ht="99" customHeight="1" x14ac:dyDescent="0.35">
      <c r="B11" s="141" t="s">
        <v>147</v>
      </c>
      <c r="C11" s="142" t="s">
        <v>117</v>
      </c>
      <c r="D11" s="141" t="s">
        <v>124</v>
      </c>
      <c r="E11" s="141" t="s">
        <v>118</v>
      </c>
      <c r="F11" s="143" t="s">
        <v>123</v>
      </c>
    </row>
    <row r="12" spans="2:16" s="16" customFormat="1" ht="29.25" customHeight="1" x14ac:dyDescent="0.35">
      <c r="B12" s="144" t="s">
        <v>148</v>
      </c>
      <c r="C12" s="145" t="s">
        <v>149</v>
      </c>
      <c r="D12" s="146">
        <f>Q_SPF_site*0.025</f>
        <v>11.675664000000003</v>
      </c>
      <c r="E12" s="144" t="s">
        <v>150</v>
      </c>
      <c r="F12" s="144" t="s">
        <v>151</v>
      </c>
      <c r="G12" s="24"/>
      <c r="H12" s="24"/>
      <c r="I12" s="24"/>
      <c r="J12" s="24"/>
      <c r="K12" s="24"/>
      <c r="L12" s="24"/>
      <c r="M12" s="24"/>
    </row>
    <row r="13" spans="2:16" ht="66" customHeight="1" x14ac:dyDescent="0.35">
      <c r="B13" s="144" t="s">
        <v>152</v>
      </c>
      <c r="C13" s="113" t="s">
        <v>153</v>
      </c>
      <c r="D13" s="39">
        <v>298</v>
      </c>
      <c r="E13" s="39" t="s">
        <v>154</v>
      </c>
      <c r="F13" s="40" t="s">
        <v>155</v>
      </c>
    </row>
    <row r="14" spans="2:16" ht="66" customHeight="1" x14ac:dyDescent="0.35">
      <c r="B14" s="137" t="s">
        <v>156</v>
      </c>
      <c r="C14" s="138" t="s">
        <v>157</v>
      </c>
      <c r="D14" s="39">
        <v>760</v>
      </c>
      <c r="E14" s="39" t="s">
        <v>158</v>
      </c>
      <c r="F14" s="40" t="s">
        <v>159</v>
      </c>
    </row>
    <row r="15" spans="2:16" ht="66" customHeight="1" x14ac:dyDescent="0.35">
      <c r="B15" s="137" t="s">
        <v>160</v>
      </c>
      <c r="C15" s="138" t="s">
        <v>161</v>
      </c>
      <c r="D15" s="39">
        <v>1</v>
      </c>
      <c r="E15" s="39" t="s">
        <v>162</v>
      </c>
      <c r="F15" s="40" t="s">
        <v>159</v>
      </c>
    </row>
    <row r="16" spans="2:16" ht="66" customHeight="1" x14ac:dyDescent="0.35">
      <c r="B16" s="144" t="s">
        <v>163</v>
      </c>
      <c r="C16" s="113" t="s">
        <v>164</v>
      </c>
      <c r="D16" s="39">
        <v>82.05</v>
      </c>
      <c r="E16" s="39" t="s">
        <v>165</v>
      </c>
      <c r="F16" s="40" t="s">
        <v>151</v>
      </c>
    </row>
    <row r="17" spans="2:6" ht="35.25" customHeight="1" x14ac:dyDescent="0.35">
      <c r="B17" s="137" t="s">
        <v>166</v>
      </c>
      <c r="C17" s="138" t="s">
        <v>108</v>
      </c>
      <c r="D17" s="144">
        <v>331</v>
      </c>
      <c r="E17" s="39" t="s">
        <v>167</v>
      </c>
      <c r="F17" s="40" t="s">
        <v>168</v>
      </c>
    </row>
    <row r="18" spans="2:6" ht="40.5" customHeight="1" x14ac:dyDescent="0.35">
      <c r="B18" s="144" t="s">
        <v>169</v>
      </c>
      <c r="C18" s="145" t="s">
        <v>95</v>
      </c>
      <c r="D18" s="144">
        <v>96.94</v>
      </c>
      <c r="E18" s="144" t="s">
        <v>170</v>
      </c>
      <c r="F18" s="40" t="s">
        <v>171</v>
      </c>
    </row>
    <row r="19" spans="2:6" ht="31.5" customHeight="1" x14ac:dyDescent="0.35">
      <c r="B19" s="137" t="s">
        <v>172</v>
      </c>
      <c r="C19" s="138" t="s">
        <v>173</v>
      </c>
      <c r="D19" s="144">
        <v>260</v>
      </c>
      <c r="E19" s="147" t="s">
        <v>174</v>
      </c>
      <c r="F19" s="137" t="s">
        <v>146</v>
      </c>
    </row>
    <row r="20" spans="2:6" ht="31.5" customHeight="1" x14ac:dyDescent="0.35">
      <c r="B20" s="137" t="s">
        <v>175</v>
      </c>
      <c r="C20" s="138" t="s">
        <v>176</v>
      </c>
      <c r="D20" s="148">
        <v>3</v>
      </c>
      <c r="E20" s="147" t="s">
        <v>177</v>
      </c>
      <c r="F20" s="137" t="s">
        <v>146</v>
      </c>
    </row>
    <row r="21" spans="2:6" ht="28.5" customHeight="1" x14ac:dyDescent="0.35">
      <c r="B21" s="137" t="s">
        <v>178</v>
      </c>
      <c r="C21" s="138" t="s">
        <v>179</v>
      </c>
      <c r="D21" s="148">
        <v>1560</v>
      </c>
      <c r="E21" s="149" t="s">
        <v>180</v>
      </c>
      <c r="F21" s="137" t="s">
        <v>146</v>
      </c>
    </row>
    <row r="22" spans="2:6" ht="29" x14ac:dyDescent="0.35">
      <c r="B22" s="137" t="s">
        <v>181</v>
      </c>
      <c r="C22" s="138" t="s">
        <v>182</v>
      </c>
      <c r="D22" s="148">
        <v>2</v>
      </c>
      <c r="E22" s="147" t="s">
        <v>183</v>
      </c>
      <c r="F22" s="137" t="s">
        <v>146</v>
      </c>
    </row>
    <row r="23" spans="2:6" ht="29" x14ac:dyDescent="0.35">
      <c r="B23" s="137" t="s">
        <v>184</v>
      </c>
      <c r="C23" s="138" t="s">
        <v>185</v>
      </c>
      <c r="D23" s="144">
        <v>0.33</v>
      </c>
      <c r="E23" s="147" t="s">
        <v>186</v>
      </c>
      <c r="F23" s="137" t="s">
        <v>146</v>
      </c>
    </row>
    <row r="24" spans="2:6" ht="30" x14ac:dyDescent="0.45">
      <c r="B24" s="39" t="s">
        <v>96</v>
      </c>
      <c r="C24" s="112" t="s">
        <v>187</v>
      </c>
      <c r="D24" s="144">
        <v>0.5</v>
      </c>
      <c r="E24" s="147" t="s">
        <v>188</v>
      </c>
      <c r="F24" s="137" t="s">
        <v>146</v>
      </c>
    </row>
    <row r="25" spans="2:6" ht="29" x14ac:dyDescent="0.35">
      <c r="B25" s="137" t="s">
        <v>189</v>
      </c>
      <c r="C25" s="138" t="s">
        <v>78</v>
      </c>
      <c r="D25" s="144">
        <v>55</v>
      </c>
      <c r="E25" s="147" t="s">
        <v>190</v>
      </c>
      <c r="F25" s="137" t="s">
        <v>146</v>
      </c>
    </row>
    <row r="26" spans="2:6" ht="43.5" x14ac:dyDescent="0.35">
      <c r="B26" s="137" t="s">
        <v>191</v>
      </c>
      <c r="C26" s="138" t="s">
        <v>100</v>
      </c>
      <c r="D26" s="144">
        <v>0.03</v>
      </c>
      <c r="E26" s="150" t="s">
        <v>192</v>
      </c>
      <c r="F26" s="137" t="s">
        <v>146</v>
      </c>
    </row>
    <row r="27" spans="2:6" ht="29" x14ac:dyDescent="0.35">
      <c r="B27" s="151" t="s">
        <v>79</v>
      </c>
      <c r="C27" s="152" t="s">
        <v>80</v>
      </c>
      <c r="D27" s="144">
        <v>5.08</v>
      </c>
      <c r="E27" s="150" t="s">
        <v>193</v>
      </c>
      <c r="F27" s="137" t="s">
        <v>146</v>
      </c>
    </row>
    <row r="28" spans="2:6" ht="29" x14ac:dyDescent="0.35">
      <c r="B28" s="151" t="s">
        <v>194</v>
      </c>
      <c r="C28" s="152" t="s">
        <v>195</v>
      </c>
      <c r="D28" s="144">
        <v>20.3</v>
      </c>
      <c r="E28" s="150" t="s">
        <v>196</v>
      </c>
      <c r="F28" s="137" t="s">
        <v>146</v>
      </c>
    </row>
    <row r="29" spans="2:6" ht="29" x14ac:dyDescent="0.35">
      <c r="B29" s="151" t="s">
        <v>111</v>
      </c>
      <c r="C29" s="152" t="s">
        <v>112</v>
      </c>
      <c r="D29" s="144">
        <v>1</v>
      </c>
      <c r="E29" s="150" t="s">
        <v>139</v>
      </c>
      <c r="F29" s="137" t="s">
        <v>146</v>
      </c>
    </row>
    <row r="30" spans="2:6" ht="29" x14ac:dyDescent="0.35">
      <c r="B30" s="151" t="s">
        <v>197</v>
      </c>
      <c r="C30" s="152" t="s">
        <v>198</v>
      </c>
      <c r="D30" s="144">
        <v>20</v>
      </c>
      <c r="E30" s="150" t="s">
        <v>199</v>
      </c>
      <c r="F30" s="137" t="s">
        <v>146</v>
      </c>
    </row>
    <row r="31" spans="2:6" ht="43.5" x14ac:dyDescent="0.35">
      <c r="B31" s="151" t="s">
        <v>88</v>
      </c>
      <c r="C31" s="152" t="s">
        <v>89</v>
      </c>
      <c r="D31" s="144">
        <v>0.02</v>
      </c>
      <c r="E31" s="150" t="s">
        <v>200</v>
      </c>
      <c r="F31" s="137" t="s">
        <v>146</v>
      </c>
    </row>
    <row r="32" spans="2:6" ht="29" x14ac:dyDescent="0.35">
      <c r="B32" s="151" t="s">
        <v>92</v>
      </c>
      <c r="C32" s="152" t="s">
        <v>93</v>
      </c>
      <c r="D32" s="144">
        <v>0.08</v>
      </c>
      <c r="E32" s="150" t="s">
        <v>201</v>
      </c>
      <c r="F32" s="137" t="s">
        <v>146</v>
      </c>
    </row>
    <row r="33" spans="2:6" ht="29" x14ac:dyDescent="0.35">
      <c r="B33" s="151" t="s">
        <v>202</v>
      </c>
      <c r="C33" s="152" t="s">
        <v>203</v>
      </c>
      <c r="D33" s="144">
        <v>260</v>
      </c>
      <c r="E33" s="150" t="s">
        <v>204</v>
      </c>
      <c r="F33" s="137" t="s">
        <v>146</v>
      </c>
    </row>
    <row r="34" spans="2:6" x14ac:dyDescent="0.35">
      <c r="B34" s="144" t="s">
        <v>205</v>
      </c>
      <c r="C34" s="125" t="s">
        <v>133</v>
      </c>
      <c r="D34" s="144">
        <v>3785.41</v>
      </c>
      <c r="E34" s="144" t="s">
        <v>205</v>
      </c>
      <c r="F34" s="153"/>
    </row>
    <row r="35" spans="2:6" x14ac:dyDescent="0.35">
      <c r="B35" s="144" t="s">
        <v>206</v>
      </c>
      <c r="C35" s="125"/>
      <c r="D35" s="144">
        <v>3.2800000000000003E-2</v>
      </c>
      <c r="E35" s="144" t="s">
        <v>206</v>
      </c>
      <c r="F35" s="153"/>
    </row>
    <row r="36" spans="2:6" x14ac:dyDescent="0.35">
      <c r="B36" s="144" t="s">
        <v>207</v>
      </c>
      <c r="C36" s="125" t="s">
        <v>133</v>
      </c>
      <c r="D36" s="148">
        <v>760</v>
      </c>
      <c r="E36" s="144" t="s">
        <v>207</v>
      </c>
      <c r="F36" s="153"/>
    </row>
    <row r="37" spans="2:6" x14ac:dyDescent="0.35">
      <c r="B37" s="144" t="s">
        <v>208</v>
      </c>
      <c r="C37" s="125" t="s">
        <v>133</v>
      </c>
      <c r="D37" s="144">
        <v>1E-3</v>
      </c>
      <c r="E37" s="144" t="s">
        <v>208</v>
      </c>
      <c r="F37" s="153"/>
    </row>
    <row r="38" spans="2:6" x14ac:dyDescent="0.35">
      <c r="B38" s="144" t="s">
        <v>209</v>
      </c>
      <c r="C38" s="125" t="s">
        <v>133</v>
      </c>
      <c r="D38" s="144">
        <v>1000</v>
      </c>
      <c r="E38" s="144" t="s">
        <v>209</v>
      </c>
      <c r="F38" s="153"/>
    </row>
    <row r="39" spans="2:6" x14ac:dyDescent="0.35">
      <c r="B39" s="144" t="s">
        <v>210</v>
      </c>
      <c r="C39" s="125" t="s">
        <v>133</v>
      </c>
      <c r="D39" s="144">
        <v>0.4536</v>
      </c>
      <c r="E39" s="144" t="s">
        <v>210</v>
      </c>
      <c r="F39" s="153"/>
    </row>
    <row r="40" spans="2:6" x14ac:dyDescent="0.35">
      <c r="B40" s="144" t="s">
        <v>211</v>
      </c>
      <c r="C40" s="125" t="s">
        <v>133</v>
      </c>
      <c r="D40" s="148">
        <v>3600</v>
      </c>
      <c r="E40" s="144" t="s">
        <v>211</v>
      </c>
      <c r="F40" s="154"/>
    </row>
    <row r="41" spans="2:6" x14ac:dyDescent="0.35">
      <c r="B41" s="144" t="s">
        <v>212</v>
      </c>
      <c r="C41" s="125" t="s">
        <v>133</v>
      </c>
      <c r="D41" s="144">
        <v>3.7850000000000001</v>
      </c>
      <c r="E41" s="144" t="s">
        <v>212</v>
      </c>
      <c r="F41" s="154"/>
    </row>
    <row r="42" spans="2:6" ht="16.5" customHeight="1" x14ac:dyDescent="0.35">
      <c r="B42" s="155" t="s">
        <v>213</v>
      </c>
      <c r="C42" s="156" t="s">
        <v>214</v>
      </c>
      <c r="D42" s="155" t="e" cm="1">
        <f t="array" aca="1" ref="D42" ca="1">_xll.RiskOutput()+VLOOKUP(E45,B54:E59,4,FALSE)</f>
        <v>#NAME?</v>
      </c>
      <c r="E42" s="155" t="s">
        <v>139</v>
      </c>
    </row>
    <row r="43" spans="2:6" ht="16.5" customHeight="1" x14ac:dyDescent="0.35">
      <c r="B43" s="155" t="s">
        <v>215</v>
      </c>
      <c r="C43" s="156" t="s">
        <v>216</v>
      </c>
      <c r="D43" s="155" t="e" cm="1">
        <f t="array" aca="1" ref="D43" ca="1">_xll.RiskOutput()+VLOOKUP(E45,B63:D70,3,FALSE)</f>
        <v>#NAME?</v>
      </c>
      <c r="E43" s="157" t="s">
        <v>217</v>
      </c>
    </row>
    <row r="44" spans="2:6" ht="16.5" customHeight="1" x14ac:dyDescent="0.35">
      <c r="B44" s="158" t="s">
        <v>218</v>
      </c>
      <c r="C44" s="159" t="s">
        <v>219</v>
      </c>
      <c r="D44" s="159"/>
      <c r="E44" s="160" t="s">
        <v>220</v>
      </c>
    </row>
    <row r="45" spans="2:6" ht="16.5" customHeight="1" x14ac:dyDescent="0.35">
      <c r="B45" s="161">
        <v>1</v>
      </c>
      <c r="C45" s="113">
        <v>1</v>
      </c>
      <c r="D45" s="162">
        <f>1/8</f>
        <v>0.125</v>
      </c>
      <c r="E45" s="56" t="e" cm="1">
        <f t="array" aca="1" ref="E45" ca="1">_xll.RiskDiscrete(B45:B52,D45:D52,_xll.RiskName("Sampled Formulation Type"),_xll.RiskStatic(1))</f>
        <v>#NAME?</v>
      </c>
    </row>
    <row r="46" spans="2:6" ht="16.5" customHeight="1" x14ac:dyDescent="0.35">
      <c r="B46" s="161">
        <v>2</v>
      </c>
      <c r="C46" s="163">
        <v>1</v>
      </c>
      <c r="D46" s="162">
        <f t="shared" ref="D46:D52" si="1">1/8</f>
        <v>0.125</v>
      </c>
      <c r="E46" s="56"/>
    </row>
    <row r="47" spans="2:6" x14ac:dyDescent="0.35">
      <c r="B47" s="161">
        <v>3</v>
      </c>
      <c r="C47" s="163">
        <v>1</v>
      </c>
      <c r="D47" s="162">
        <f t="shared" si="1"/>
        <v>0.125</v>
      </c>
      <c r="E47" s="56"/>
    </row>
    <row r="48" spans="2:6" x14ac:dyDescent="0.35">
      <c r="B48" s="161">
        <v>4</v>
      </c>
      <c r="C48" s="163">
        <v>1</v>
      </c>
      <c r="D48" s="162">
        <f t="shared" si="1"/>
        <v>0.125</v>
      </c>
      <c r="E48" s="56"/>
    </row>
    <row r="49" spans="2:5" x14ac:dyDescent="0.35">
      <c r="B49" s="161">
        <v>5</v>
      </c>
      <c r="C49" s="163">
        <v>1</v>
      </c>
      <c r="D49" s="162">
        <f t="shared" si="1"/>
        <v>0.125</v>
      </c>
      <c r="E49" s="56"/>
    </row>
    <row r="50" spans="2:5" x14ac:dyDescent="0.35">
      <c r="B50" s="161">
        <v>6</v>
      </c>
      <c r="C50" s="163">
        <v>1</v>
      </c>
      <c r="D50" s="162">
        <f t="shared" si="1"/>
        <v>0.125</v>
      </c>
      <c r="E50" s="56"/>
    </row>
    <row r="51" spans="2:5" x14ac:dyDescent="0.35">
      <c r="B51" s="161">
        <v>7</v>
      </c>
      <c r="C51" s="163">
        <v>1</v>
      </c>
      <c r="D51" s="162">
        <f t="shared" si="1"/>
        <v>0.125</v>
      </c>
      <c r="E51" s="56"/>
    </row>
    <row r="52" spans="2:5" x14ac:dyDescent="0.35">
      <c r="B52" s="161">
        <v>8</v>
      </c>
      <c r="C52" s="163">
        <v>1</v>
      </c>
      <c r="D52" s="162">
        <f t="shared" si="1"/>
        <v>0.125</v>
      </c>
      <c r="E52" s="56"/>
    </row>
    <row r="53" spans="2:5" x14ac:dyDescent="0.35">
      <c r="B53" s="164" t="s">
        <v>221</v>
      </c>
      <c r="C53" s="165" t="s">
        <v>222</v>
      </c>
      <c r="D53" s="166"/>
      <c r="E53" s="167" t="s">
        <v>223</v>
      </c>
    </row>
    <row r="54" spans="2:5" x14ac:dyDescent="0.35">
      <c r="B54" s="161">
        <v>1</v>
      </c>
      <c r="C54" s="168">
        <v>0.01</v>
      </c>
      <c r="D54" s="168">
        <v>0.05</v>
      </c>
      <c r="E54" s="169" t="e" cm="1">
        <f t="array" aca="1" ref="E54" ca="1">_xll.RiskUniform(C54,D54)</f>
        <v>#NAME?</v>
      </c>
    </row>
    <row r="55" spans="2:5" x14ac:dyDescent="0.35">
      <c r="B55" s="161">
        <v>2</v>
      </c>
      <c r="C55" s="168">
        <v>0.01</v>
      </c>
      <c r="D55" s="168">
        <v>0.05</v>
      </c>
      <c r="E55" s="169" t="e" cm="1">
        <f t="array" aca="1" ref="E55" ca="1">_xll.RiskUniform(C55,D55)</f>
        <v>#NAME?</v>
      </c>
    </row>
    <row r="56" spans="2:5" x14ac:dyDescent="0.35">
      <c r="B56" s="161">
        <v>3</v>
      </c>
      <c r="C56" s="168">
        <v>0.01</v>
      </c>
      <c r="D56" s="168">
        <v>0.05</v>
      </c>
      <c r="E56" s="169" t="e" cm="1">
        <f t="array" aca="1" ref="E56" ca="1">_xll.RiskUniform(C56,D56)</f>
        <v>#NAME?</v>
      </c>
    </row>
    <row r="57" spans="2:5" x14ac:dyDescent="0.35">
      <c r="B57" s="161">
        <v>4</v>
      </c>
      <c r="C57" s="168">
        <v>0.01</v>
      </c>
      <c r="D57" s="168">
        <v>0.05</v>
      </c>
      <c r="E57" s="169" t="e" cm="1">
        <f t="array" aca="1" ref="E57" ca="1">_xll.RiskUniform(C57,D57)</f>
        <v>#NAME?</v>
      </c>
    </row>
    <row r="58" spans="2:5" x14ac:dyDescent="0.35">
      <c r="B58" s="161">
        <v>5</v>
      </c>
      <c r="C58" s="170">
        <v>2.75E-2</v>
      </c>
      <c r="D58" s="170">
        <v>3.2500000000000001E-2</v>
      </c>
      <c r="E58" s="169" t="e" cm="1">
        <f t="array" aca="1" ref="E58" ca="1">_xll.RiskUniform(C58,D58)</f>
        <v>#NAME?</v>
      </c>
    </row>
    <row r="59" spans="2:5" x14ac:dyDescent="0.35">
      <c r="B59" s="161">
        <v>6</v>
      </c>
      <c r="C59" s="170">
        <v>2.75E-2</v>
      </c>
      <c r="D59" s="170">
        <v>3.2500000000000001E-2</v>
      </c>
      <c r="E59" s="169" t="e" cm="1">
        <f t="array" aca="1" ref="E59" ca="1">_xll.RiskUniform(C59,D59)</f>
        <v>#NAME?</v>
      </c>
    </row>
    <row r="60" spans="2:5" x14ac:dyDescent="0.35">
      <c r="B60" s="161">
        <v>7</v>
      </c>
      <c r="C60" s="170">
        <v>2.75E-2</v>
      </c>
      <c r="D60" s="170">
        <v>3.2500000000000001E-2</v>
      </c>
      <c r="E60" s="169" t="e" cm="1">
        <f t="array" aca="1" ref="E60" ca="1">_xll.RiskUniform(C60,D60)</f>
        <v>#NAME?</v>
      </c>
    </row>
    <row r="61" spans="2:5" x14ac:dyDescent="0.35">
      <c r="B61" s="161">
        <v>8</v>
      </c>
      <c r="C61" s="170">
        <v>0.01</v>
      </c>
      <c r="D61" s="170">
        <v>0.03</v>
      </c>
      <c r="E61" s="169" t="e" cm="1">
        <f t="array" aca="1" ref="E61" ca="1">_xll.RiskUniform(C61,D61)</f>
        <v>#NAME?</v>
      </c>
    </row>
    <row r="62" spans="2:5" x14ac:dyDescent="0.35">
      <c r="B62" s="164" t="s">
        <v>221</v>
      </c>
      <c r="C62" s="171" t="s">
        <v>224</v>
      </c>
      <c r="D62" s="172" t="s">
        <v>225</v>
      </c>
      <c r="E62" s="167" t="s">
        <v>226</v>
      </c>
    </row>
    <row r="63" spans="2:5" x14ac:dyDescent="0.35">
      <c r="B63" s="161">
        <v>1</v>
      </c>
      <c r="C63" s="12" t="s">
        <v>217</v>
      </c>
      <c r="D63" s="112">
        <v>1.2565</v>
      </c>
      <c r="E63" s="56"/>
    </row>
    <row r="64" spans="2:5" x14ac:dyDescent="0.35">
      <c r="B64" s="161">
        <v>2</v>
      </c>
      <c r="C64" s="12" t="s">
        <v>217</v>
      </c>
      <c r="D64" s="112">
        <v>1.2565</v>
      </c>
      <c r="E64" s="39"/>
    </row>
    <row r="65" spans="2:5" x14ac:dyDescent="0.35">
      <c r="B65" s="173">
        <v>3</v>
      </c>
      <c r="C65" s="12" t="s">
        <v>217</v>
      </c>
      <c r="D65" s="112">
        <v>1.2565</v>
      </c>
      <c r="E65" s="39"/>
    </row>
    <row r="66" spans="2:5" x14ac:dyDescent="0.35">
      <c r="B66" s="174">
        <v>4</v>
      </c>
      <c r="C66" s="12" t="s">
        <v>217</v>
      </c>
      <c r="D66" s="112">
        <v>1.2565</v>
      </c>
      <c r="E66" s="39"/>
    </row>
    <row r="67" spans="2:5" x14ac:dyDescent="0.35">
      <c r="B67" s="174">
        <v>5</v>
      </c>
      <c r="C67" s="12" t="s">
        <v>217</v>
      </c>
      <c r="D67" s="112">
        <v>1.2565</v>
      </c>
      <c r="E67" s="39"/>
    </row>
    <row r="68" spans="2:5" x14ac:dyDescent="0.35">
      <c r="B68" s="174">
        <v>6</v>
      </c>
      <c r="C68" s="12" t="s">
        <v>217</v>
      </c>
      <c r="D68" s="112">
        <v>1.2565</v>
      </c>
      <c r="E68" s="39"/>
    </row>
    <row r="69" spans="2:5" x14ac:dyDescent="0.35">
      <c r="B69" s="174">
        <v>7</v>
      </c>
      <c r="C69" s="12" t="s">
        <v>217</v>
      </c>
      <c r="D69" s="112">
        <v>1.2565</v>
      </c>
      <c r="E69" s="39"/>
    </row>
    <row r="70" spans="2:5" x14ac:dyDescent="0.35">
      <c r="B70" s="174">
        <v>8</v>
      </c>
      <c r="C70" s="12" t="s">
        <v>217</v>
      </c>
      <c r="D70" s="112">
        <v>1.2565</v>
      </c>
      <c r="E70" s="39"/>
    </row>
    <row r="71" spans="2:5" x14ac:dyDescent="0.35">
      <c r="B71" s="16"/>
      <c r="C71" s="18"/>
      <c r="D71" s="16"/>
    </row>
    <row r="72" spans="2:5" x14ac:dyDescent="0.35">
      <c r="B72" s="16"/>
      <c r="C72" s="18"/>
      <c r="D72" s="16"/>
    </row>
    <row r="73" spans="2:5" x14ac:dyDescent="0.35">
      <c r="B73" s="16"/>
      <c r="C73" s="18"/>
      <c r="D73" s="16"/>
    </row>
    <row r="74" spans="2:5" x14ac:dyDescent="0.35">
      <c r="B74" s="16"/>
      <c r="C74" s="18"/>
      <c r="D74" s="16"/>
    </row>
    <row r="75" spans="2:5" x14ac:dyDescent="0.35">
      <c r="B75" s="16"/>
      <c r="C75" s="18"/>
      <c r="D75" s="16"/>
    </row>
    <row r="76" spans="2:5" x14ac:dyDescent="0.35">
      <c r="B76" s="16"/>
      <c r="C76" s="18"/>
      <c r="D76" s="16"/>
    </row>
    <row r="77" spans="2:5" x14ac:dyDescent="0.35">
      <c r="B77" s="16"/>
      <c r="C77" s="18"/>
      <c r="D77" s="16"/>
    </row>
    <row r="78" spans="2:5" x14ac:dyDescent="0.35">
      <c r="B78" s="16"/>
      <c r="C78" s="18"/>
      <c r="D78" s="16"/>
    </row>
    <row r="79" spans="2:5" x14ac:dyDescent="0.35">
      <c r="B79" s="16"/>
      <c r="C79" s="18"/>
      <c r="D79" s="16"/>
    </row>
    <row r="80" spans="2:5" x14ac:dyDescent="0.35">
      <c r="B80" s="16"/>
      <c r="C80" s="18"/>
      <c r="D80" s="16"/>
    </row>
    <row r="81" spans="2:4" x14ac:dyDescent="0.35">
      <c r="B81" s="16"/>
      <c r="C81" s="18"/>
      <c r="D81" s="16"/>
    </row>
    <row r="82" spans="2:4" x14ac:dyDescent="0.35">
      <c r="B82" s="16"/>
      <c r="C82" s="18"/>
      <c r="D82" s="16"/>
    </row>
    <row r="83" spans="2:4" x14ac:dyDescent="0.35">
      <c r="B83" s="16"/>
      <c r="C83" s="18"/>
      <c r="D83" s="16"/>
    </row>
    <row r="84" spans="2:4" x14ac:dyDescent="0.35">
      <c r="B84" s="16"/>
      <c r="C84" s="18"/>
      <c r="D84" s="16"/>
    </row>
    <row r="85" spans="2:4" x14ac:dyDescent="0.35">
      <c r="B85" s="16"/>
      <c r="C85" s="18"/>
      <c r="D85" s="16"/>
    </row>
    <row r="86" spans="2:4" x14ac:dyDescent="0.35">
      <c r="B86" s="16"/>
      <c r="C86" s="18"/>
      <c r="D86" s="16"/>
    </row>
    <row r="87" spans="2:4" x14ac:dyDescent="0.35">
      <c r="B87" s="16"/>
      <c r="C87" s="18"/>
      <c r="D87" s="16"/>
    </row>
    <row r="88" spans="2:4" x14ac:dyDescent="0.35">
      <c r="B88" s="16"/>
      <c r="C88" s="18"/>
      <c r="D88" s="16"/>
    </row>
    <row r="89" spans="2:4" x14ac:dyDescent="0.35">
      <c r="B89" s="16"/>
      <c r="C89" s="18"/>
      <c r="D89" s="16"/>
    </row>
    <row r="90" spans="2:4" x14ac:dyDescent="0.35">
      <c r="B90" s="16"/>
      <c r="C90" s="18"/>
      <c r="D90" s="16"/>
    </row>
    <row r="91" spans="2:4" x14ac:dyDescent="0.35">
      <c r="B91" s="16"/>
      <c r="C91" s="18"/>
      <c r="D91" s="16"/>
    </row>
    <row r="92" spans="2:4" x14ac:dyDescent="0.35">
      <c r="B92" s="16"/>
      <c r="C92" s="18"/>
      <c r="D92" s="16"/>
    </row>
    <row r="93" spans="2:4" x14ac:dyDescent="0.35">
      <c r="B93" s="16"/>
      <c r="C93" s="18"/>
      <c r="D93" s="16"/>
    </row>
    <row r="94" spans="2:4" x14ac:dyDescent="0.35">
      <c r="B94" s="16"/>
      <c r="C94" s="18"/>
      <c r="D94" s="16"/>
    </row>
    <row r="95" spans="2:4" x14ac:dyDescent="0.35">
      <c r="B95" s="16"/>
      <c r="C95" s="18"/>
      <c r="D95" s="16"/>
    </row>
    <row r="96" spans="2:4" x14ac:dyDescent="0.35">
      <c r="B96" s="16"/>
      <c r="C96" s="18"/>
      <c r="D96" s="16"/>
    </row>
    <row r="97" spans="2:4" x14ac:dyDescent="0.35">
      <c r="B97" s="16"/>
      <c r="C97" s="18"/>
      <c r="D97" s="16"/>
    </row>
    <row r="98" spans="2:4" x14ac:dyDescent="0.35">
      <c r="B98" s="16"/>
      <c r="C98" s="18"/>
      <c r="D98" s="16"/>
    </row>
    <row r="99" spans="2:4" x14ac:dyDescent="0.35">
      <c r="B99" s="16"/>
      <c r="C99" s="18"/>
      <c r="D99" s="16"/>
    </row>
    <row r="100" spans="2:4" x14ac:dyDescent="0.35">
      <c r="B100" s="16"/>
      <c r="C100" s="18"/>
      <c r="D100" s="16"/>
    </row>
    <row r="101" spans="2:4" x14ac:dyDescent="0.35">
      <c r="B101" s="16"/>
      <c r="C101" s="18"/>
      <c r="D101" s="16"/>
    </row>
    <row r="102" spans="2:4" x14ac:dyDescent="0.35">
      <c r="B102" s="16"/>
      <c r="C102" s="18"/>
      <c r="D102" s="16"/>
    </row>
    <row r="103" spans="2:4" x14ac:dyDescent="0.35">
      <c r="B103" s="16"/>
      <c r="C103" s="18"/>
      <c r="D103" s="16"/>
    </row>
    <row r="104" spans="2:4" x14ac:dyDescent="0.35">
      <c r="B104" s="16"/>
      <c r="C104" s="18"/>
      <c r="D104" s="16"/>
    </row>
    <row r="105" spans="2:4" x14ac:dyDescent="0.35">
      <c r="B105" s="16"/>
      <c r="C105" s="18"/>
      <c r="D105" s="16"/>
    </row>
    <row r="106" spans="2:4" x14ac:dyDescent="0.35">
      <c r="B106" s="16"/>
      <c r="C106" s="18"/>
      <c r="D106" s="16"/>
    </row>
    <row r="107" spans="2:4" x14ac:dyDescent="0.35">
      <c r="B107" s="16"/>
      <c r="C107" s="18"/>
      <c r="D107" s="16"/>
    </row>
    <row r="108" spans="2:4" x14ac:dyDescent="0.35">
      <c r="B108" s="16"/>
      <c r="C108" s="18"/>
      <c r="D108" s="16"/>
    </row>
    <row r="109" spans="2:4" x14ac:dyDescent="0.35">
      <c r="B109" s="16"/>
      <c r="C109" s="18"/>
      <c r="D109" s="16"/>
    </row>
    <row r="110" spans="2:4" x14ac:dyDescent="0.35">
      <c r="B110" s="16"/>
      <c r="C110" s="18"/>
      <c r="D110" s="16"/>
    </row>
    <row r="111" spans="2:4" x14ac:dyDescent="0.35">
      <c r="B111" s="16"/>
      <c r="C111" s="18"/>
      <c r="D111" s="16"/>
    </row>
    <row r="112" spans="2:4" x14ac:dyDescent="0.35">
      <c r="B112" s="16"/>
      <c r="C112" s="18"/>
      <c r="D112" s="16"/>
    </row>
    <row r="113" spans="2:4" x14ac:dyDescent="0.35">
      <c r="B113" s="16"/>
      <c r="C113" s="18"/>
      <c r="D113" s="16"/>
    </row>
    <row r="114" spans="2:4" x14ac:dyDescent="0.35">
      <c r="B114" s="16"/>
      <c r="C114" s="18"/>
      <c r="D114" s="16"/>
    </row>
    <row r="115" spans="2:4" x14ac:dyDescent="0.35">
      <c r="B115" s="16"/>
      <c r="C115" s="18"/>
      <c r="D115" s="16"/>
    </row>
    <row r="116" spans="2:4" x14ac:dyDescent="0.35">
      <c r="B116" s="16"/>
      <c r="C116" s="18"/>
      <c r="D116" s="16"/>
    </row>
    <row r="117" spans="2:4" x14ac:dyDescent="0.35">
      <c r="B117" s="16"/>
      <c r="C117" s="18"/>
      <c r="D117" s="16"/>
    </row>
    <row r="118" spans="2:4" x14ac:dyDescent="0.35">
      <c r="B118" s="16"/>
      <c r="C118" s="18"/>
      <c r="D118" s="16"/>
    </row>
    <row r="119" spans="2:4" x14ac:dyDescent="0.35">
      <c r="B119" s="16"/>
      <c r="C119" s="18"/>
      <c r="D119" s="16"/>
    </row>
    <row r="120" spans="2:4" x14ac:dyDescent="0.35">
      <c r="B120" s="16"/>
      <c r="C120" s="18"/>
      <c r="D120" s="16"/>
    </row>
    <row r="121" spans="2:4" x14ac:dyDescent="0.35">
      <c r="B121" s="16"/>
      <c r="C121" s="18"/>
      <c r="D121" s="16"/>
    </row>
    <row r="122" spans="2:4" x14ac:dyDescent="0.35">
      <c r="B122" s="16"/>
      <c r="C122" s="18"/>
      <c r="D122" s="16"/>
    </row>
    <row r="123" spans="2:4" x14ac:dyDescent="0.35">
      <c r="B123" s="16"/>
      <c r="C123" s="18"/>
      <c r="D123" s="16"/>
    </row>
    <row r="124" spans="2:4" x14ac:dyDescent="0.35">
      <c r="B124" s="16"/>
      <c r="C124" s="18"/>
      <c r="D124" s="16"/>
    </row>
    <row r="125" spans="2:4" x14ac:dyDescent="0.35">
      <c r="B125" s="16"/>
      <c r="C125" s="18"/>
      <c r="D125" s="16"/>
    </row>
    <row r="126" spans="2:4" x14ac:dyDescent="0.35">
      <c r="B126" s="16"/>
      <c r="C126" s="18"/>
      <c r="D126" s="16"/>
    </row>
    <row r="127" spans="2:4" x14ac:dyDescent="0.35">
      <c r="B127" s="16"/>
      <c r="C127" s="18"/>
      <c r="D127" s="16"/>
    </row>
    <row r="128" spans="2:4" x14ac:dyDescent="0.35">
      <c r="B128" s="16"/>
      <c r="C128" s="18"/>
      <c r="D128" s="16"/>
    </row>
    <row r="129" spans="2:4" x14ac:dyDescent="0.35">
      <c r="B129" s="16"/>
      <c r="C129" s="18"/>
      <c r="D129" s="16"/>
    </row>
    <row r="130" spans="2:4" x14ac:dyDescent="0.35">
      <c r="B130" s="16"/>
      <c r="C130" s="18"/>
      <c r="D130" s="16"/>
    </row>
    <row r="131" spans="2:4" x14ac:dyDescent="0.35">
      <c r="B131" s="16"/>
      <c r="C131" s="18"/>
      <c r="D131" s="16"/>
    </row>
    <row r="132" spans="2:4" x14ac:dyDescent="0.35">
      <c r="B132" s="16"/>
      <c r="C132" s="18"/>
      <c r="D132" s="16"/>
    </row>
    <row r="133" spans="2:4" x14ac:dyDescent="0.35">
      <c r="B133" s="16"/>
      <c r="C133" s="18"/>
      <c r="D133" s="16"/>
    </row>
    <row r="134" spans="2:4" x14ac:dyDescent="0.35">
      <c r="B134" s="16"/>
      <c r="C134" s="18"/>
      <c r="D134" s="16"/>
    </row>
    <row r="135" spans="2:4" x14ac:dyDescent="0.35">
      <c r="B135" s="16"/>
      <c r="C135" s="18"/>
      <c r="D135" s="16"/>
    </row>
    <row r="136" spans="2:4" x14ac:dyDescent="0.35">
      <c r="B136" s="16"/>
      <c r="C136" s="18"/>
      <c r="D136" s="16"/>
    </row>
    <row r="137" spans="2:4" x14ac:dyDescent="0.35">
      <c r="B137" s="16"/>
      <c r="C137" s="18"/>
      <c r="D137" s="16"/>
    </row>
    <row r="138" spans="2:4" x14ac:dyDescent="0.35">
      <c r="B138" s="16"/>
      <c r="C138" s="18"/>
      <c r="D138" s="16"/>
    </row>
    <row r="139" spans="2:4" x14ac:dyDescent="0.35">
      <c r="B139" s="16"/>
      <c r="C139" s="18"/>
      <c r="D139" s="16"/>
    </row>
    <row r="140" spans="2:4" x14ac:dyDescent="0.35">
      <c r="B140" s="16"/>
      <c r="C140" s="18"/>
      <c r="D140" s="16"/>
    </row>
    <row r="141" spans="2:4" x14ac:dyDescent="0.35">
      <c r="B141" s="16"/>
      <c r="C141" s="18"/>
      <c r="D141" s="16"/>
    </row>
    <row r="142" spans="2:4" x14ac:dyDescent="0.35">
      <c r="B142" s="16"/>
      <c r="C142" s="18"/>
      <c r="D142" s="16"/>
    </row>
    <row r="143" spans="2:4" x14ac:dyDescent="0.35">
      <c r="B143" s="16"/>
      <c r="C143" s="18"/>
      <c r="D143" s="16"/>
    </row>
    <row r="144" spans="2:4" x14ac:dyDescent="0.35">
      <c r="B144" s="16"/>
      <c r="C144" s="18"/>
      <c r="D144" s="16"/>
    </row>
    <row r="145" spans="2:4" x14ac:dyDescent="0.35">
      <c r="B145" s="16"/>
      <c r="C145" s="18"/>
      <c r="D145" s="16"/>
    </row>
    <row r="146" spans="2:4" x14ac:dyDescent="0.35">
      <c r="B146" s="16"/>
      <c r="C146" s="18"/>
      <c r="D146" s="16"/>
    </row>
    <row r="147" spans="2:4" x14ac:dyDescent="0.35">
      <c r="B147" s="16"/>
      <c r="C147" s="18"/>
      <c r="D147" s="16"/>
    </row>
    <row r="148" spans="2:4" x14ac:dyDescent="0.35">
      <c r="B148" s="16"/>
      <c r="C148" s="18"/>
      <c r="D148" s="16"/>
    </row>
    <row r="149" spans="2:4" x14ac:dyDescent="0.35">
      <c r="B149" s="16"/>
      <c r="C149" s="18"/>
      <c r="D149" s="16"/>
    </row>
    <row r="150" spans="2:4" x14ac:dyDescent="0.35">
      <c r="B150" s="16"/>
      <c r="C150" s="18"/>
      <c r="D150" s="16"/>
    </row>
    <row r="151" spans="2:4" x14ac:dyDescent="0.35">
      <c r="B151" s="16"/>
      <c r="C151" s="18"/>
      <c r="D151" s="16"/>
    </row>
    <row r="152" spans="2:4" x14ac:dyDescent="0.35">
      <c r="B152" s="16"/>
      <c r="C152" s="18"/>
      <c r="D152" s="16"/>
    </row>
    <row r="153" spans="2:4" x14ac:dyDescent="0.35">
      <c r="B153" s="16"/>
      <c r="C153" s="18"/>
      <c r="D153" s="16"/>
    </row>
    <row r="154" spans="2:4" x14ac:dyDescent="0.35">
      <c r="B154" s="16"/>
      <c r="C154" s="18"/>
      <c r="D154" s="16"/>
    </row>
    <row r="155" spans="2:4" x14ac:dyDescent="0.35">
      <c r="B155" s="16"/>
      <c r="C155" s="18"/>
      <c r="D155" s="16"/>
    </row>
    <row r="156" spans="2:4" x14ac:dyDescent="0.35">
      <c r="B156" s="16"/>
      <c r="C156" s="18"/>
      <c r="D156" s="16"/>
    </row>
    <row r="157" spans="2:4" x14ac:dyDescent="0.35">
      <c r="B157" s="16"/>
      <c r="C157" s="18"/>
      <c r="D157" s="16"/>
    </row>
    <row r="158" spans="2:4" x14ac:dyDescent="0.35">
      <c r="B158" s="16"/>
      <c r="C158" s="18"/>
      <c r="D158" s="16"/>
    </row>
    <row r="159" spans="2:4" x14ac:dyDescent="0.35">
      <c r="B159" s="16"/>
      <c r="C159" s="18"/>
      <c r="D159" s="16"/>
    </row>
    <row r="160" spans="2:4" x14ac:dyDescent="0.35">
      <c r="B160" s="16"/>
      <c r="C160" s="18"/>
      <c r="D160" s="16"/>
    </row>
    <row r="161" spans="2:4" x14ac:dyDescent="0.35">
      <c r="B161" s="16"/>
      <c r="C161" s="18"/>
      <c r="D161" s="16"/>
    </row>
    <row r="162" spans="2:4" x14ac:dyDescent="0.35">
      <c r="B162" s="16"/>
      <c r="C162" s="18"/>
      <c r="D162" s="16"/>
    </row>
    <row r="163" spans="2:4" x14ac:dyDescent="0.35">
      <c r="B163" s="16"/>
      <c r="C163" s="18"/>
      <c r="D163" s="16"/>
    </row>
    <row r="164" spans="2:4" x14ac:dyDescent="0.35">
      <c r="B164" s="16"/>
      <c r="C164" s="18"/>
      <c r="D164" s="16"/>
    </row>
    <row r="165" spans="2:4" x14ac:dyDescent="0.35">
      <c r="B165" s="16"/>
      <c r="C165" s="18"/>
      <c r="D165" s="16"/>
    </row>
    <row r="166" spans="2:4" x14ac:dyDescent="0.35">
      <c r="B166" s="16"/>
      <c r="C166" s="18"/>
      <c r="D166" s="16"/>
    </row>
    <row r="167" spans="2:4" x14ac:dyDescent="0.35">
      <c r="B167" s="16"/>
      <c r="C167" s="18"/>
      <c r="D167" s="16"/>
    </row>
    <row r="168" spans="2:4" x14ac:dyDescent="0.35">
      <c r="B168" s="16"/>
      <c r="C168" s="18"/>
      <c r="D168" s="16"/>
    </row>
    <row r="169" spans="2:4" x14ac:dyDescent="0.35">
      <c r="B169" s="16"/>
      <c r="C169" s="18"/>
      <c r="D169" s="16"/>
    </row>
    <row r="170" spans="2:4" x14ac:dyDescent="0.35">
      <c r="B170" s="16"/>
      <c r="C170" s="18"/>
      <c r="D170" s="16"/>
    </row>
    <row r="171" spans="2:4" x14ac:dyDescent="0.35">
      <c r="B171" s="16"/>
      <c r="C171" s="18"/>
      <c r="D171" s="16"/>
    </row>
    <row r="172" spans="2:4" x14ac:dyDescent="0.35">
      <c r="B172" s="16"/>
      <c r="C172" s="18"/>
      <c r="D172" s="16"/>
    </row>
    <row r="173" spans="2:4" x14ac:dyDescent="0.35">
      <c r="B173" s="16"/>
      <c r="C173" s="18"/>
      <c r="D173" s="16"/>
    </row>
    <row r="174" spans="2:4" x14ac:dyDescent="0.35">
      <c r="B174" s="16"/>
      <c r="C174" s="18"/>
      <c r="D174" s="16"/>
    </row>
    <row r="175" spans="2:4" x14ac:dyDescent="0.35">
      <c r="B175" s="16"/>
      <c r="C175" s="18"/>
      <c r="D175" s="16"/>
    </row>
    <row r="176" spans="2:4" x14ac:dyDescent="0.35">
      <c r="B176" s="16"/>
      <c r="C176" s="18"/>
      <c r="D176" s="16"/>
    </row>
    <row r="177" spans="2:4" x14ac:dyDescent="0.35">
      <c r="B177" s="16"/>
      <c r="C177" s="18"/>
      <c r="D177" s="16"/>
    </row>
    <row r="178" spans="2:4" x14ac:dyDescent="0.35">
      <c r="B178" s="16"/>
      <c r="C178" s="18"/>
      <c r="D178" s="16"/>
    </row>
    <row r="179" spans="2:4" x14ac:dyDescent="0.35">
      <c r="B179" s="16"/>
      <c r="C179" s="18"/>
      <c r="D179" s="16"/>
    </row>
    <row r="180" spans="2:4" x14ac:dyDescent="0.35">
      <c r="B180" s="16"/>
      <c r="C180" s="18"/>
      <c r="D180" s="16"/>
    </row>
    <row r="181" spans="2:4" x14ac:dyDescent="0.35">
      <c r="B181" s="16"/>
      <c r="C181" s="18"/>
      <c r="D181" s="16"/>
    </row>
    <row r="182" spans="2:4" x14ac:dyDescent="0.35">
      <c r="B182" s="16"/>
      <c r="C182" s="18"/>
      <c r="D182" s="16"/>
    </row>
    <row r="183" spans="2:4" x14ac:dyDescent="0.35">
      <c r="B183" s="16"/>
      <c r="C183" s="18"/>
      <c r="D183" s="16"/>
    </row>
    <row r="184" spans="2:4" x14ac:dyDescent="0.35">
      <c r="B184" s="16"/>
      <c r="C184" s="18"/>
      <c r="D184" s="16"/>
    </row>
    <row r="185" spans="2:4" x14ac:dyDescent="0.35">
      <c r="B185" s="16"/>
      <c r="C185" s="18"/>
      <c r="D185" s="16"/>
    </row>
    <row r="186" spans="2:4" x14ac:dyDescent="0.35">
      <c r="B186" s="16"/>
      <c r="C186" s="18"/>
      <c r="D186" s="16"/>
    </row>
    <row r="187" spans="2:4" x14ac:dyDescent="0.35">
      <c r="B187" s="16"/>
      <c r="C187" s="18"/>
      <c r="D187" s="16"/>
    </row>
    <row r="188" spans="2:4" x14ac:dyDescent="0.35">
      <c r="B188" s="16"/>
      <c r="C188" s="18"/>
      <c r="D188" s="16"/>
    </row>
    <row r="189" spans="2:4" x14ac:dyDescent="0.35">
      <c r="B189" s="16"/>
      <c r="C189" s="18"/>
      <c r="D189" s="16"/>
    </row>
    <row r="190" spans="2:4" x14ac:dyDescent="0.35">
      <c r="B190" s="16"/>
      <c r="C190" s="18"/>
      <c r="D190" s="16"/>
    </row>
    <row r="191" spans="2:4" x14ac:dyDescent="0.35">
      <c r="B191" s="16"/>
      <c r="C191" s="18"/>
      <c r="D191" s="16"/>
    </row>
    <row r="192" spans="2:4" x14ac:dyDescent="0.35">
      <c r="B192" s="16"/>
      <c r="C192" s="18"/>
      <c r="D192" s="16"/>
    </row>
    <row r="193" spans="2:4" x14ac:dyDescent="0.35">
      <c r="B193" s="16"/>
      <c r="C193" s="18"/>
      <c r="D193" s="16"/>
    </row>
    <row r="194" spans="2:4" x14ac:dyDescent="0.35">
      <c r="B194" s="16"/>
      <c r="C194" s="18"/>
      <c r="D194" s="16"/>
    </row>
    <row r="195" spans="2:4" x14ac:dyDescent="0.35">
      <c r="B195" s="16"/>
      <c r="C195" s="18"/>
      <c r="D195" s="16"/>
    </row>
    <row r="196" spans="2:4" x14ac:dyDescent="0.35">
      <c r="B196" s="16"/>
      <c r="C196" s="18"/>
      <c r="D196" s="16"/>
    </row>
    <row r="197" spans="2:4" x14ac:dyDescent="0.35">
      <c r="B197" s="16"/>
      <c r="C197" s="18"/>
      <c r="D197" s="16"/>
    </row>
    <row r="198" spans="2:4" x14ac:dyDescent="0.35">
      <c r="B198" s="16"/>
      <c r="C198" s="18"/>
      <c r="D198" s="16"/>
    </row>
    <row r="199" spans="2:4" x14ac:dyDescent="0.35">
      <c r="B199" s="16"/>
      <c r="C199" s="18"/>
      <c r="D199" s="16"/>
    </row>
    <row r="200" spans="2:4" x14ac:dyDescent="0.35">
      <c r="B200" s="16"/>
      <c r="C200" s="18"/>
      <c r="D200" s="16"/>
    </row>
    <row r="201" spans="2:4" x14ac:dyDescent="0.35">
      <c r="B201" s="16"/>
      <c r="C201" s="18"/>
      <c r="D201" s="16"/>
    </row>
    <row r="202" spans="2:4" x14ac:dyDescent="0.35">
      <c r="B202" s="16"/>
      <c r="C202" s="18"/>
      <c r="D202" s="16"/>
    </row>
    <row r="203" spans="2:4" x14ac:dyDescent="0.35">
      <c r="B203" s="16"/>
      <c r="C203" s="18"/>
      <c r="D203" s="16"/>
    </row>
    <row r="204" spans="2:4" x14ac:dyDescent="0.35">
      <c r="B204" s="16"/>
      <c r="C204" s="18"/>
      <c r="D204" s="16"/>
    </row>
    <row r="205" spans="2:4" x14ac:dyDescent="0.35">
      <c r="B205" s="16"/>
      <c r="C205" s="18"/>
      <c r="D205" s="16"/>
    </row>
    <row r="206" spans="2:4" x14ac:dyDescent="0.35">
      <c r="B206" s="16"/>
      <c r="C206" s="18"/>
      <c r="D206" s="16"/>
    </row>
    <row r="207" spans="2:4" x14ac:dyDescent="0.35">
      <c r="B207" s="16"/>
      <c r="C207" s="18"/>
      <c r="D207" s="16"/>
    </row>
    <row r="208" spans="2:4" x14ac:dyDescent="0.35">
      <c r="B208" s="16"/>
      <c r="C208" s="18"/>
      <c r="D208" s="16"/>
    </row>
    <row r="209" spans="2:4" x14ac:dyDescent="0.35">
      <c r="B209" s="16"/>
      <c r="C209" s="18"/>
      <c r="D209" s="16"/>
    </row>
    <row r="210" spans="2:4" x14ac:dyDescent="0.35">
      <c r="B210" s="16"/>
      <c r="C210" s="18"/>
      <c r="D210" s="16"/>
    </row>
    <row r="211" spans="2:4" x14ac:dyDescent="0.35">
      <c r="B211" s="16"/>
      <c r="C211" s="18"/>
      <c r="D211" s="16"/>
    </row>
    <row r="212" spans="2:4" x14ac:dyDescent="0.35">
      <c r="B212" s="16"/>
      <c r="C212" s="18"/>
      <c r="D212" s="16"/>
    </row>
    <row r="213" spans="2:4" x14ac:dyDescent="0.35">
      <c r="B213" s="16"/>
      <c r="C213" s="18"/>
      <c r="D213" s="16"/>
    </row>
    <row r="214" spans="2:4" x14ac:dyDescent="0.35">
      <c r="B214" s="16"/>
      <c r="C214" s="18"/>
      <c r="D214" s="16"/>
    </row>
    <row r="215" spans="2:4" x14ac:dyDescent="0.35">
      <c r="B215" s="16"/>
      <c r="C215" s="18"/>
      <c r="D215" s="16"/>
    </row>
    <row r="216" spans="2:4" x14ac:dyDescent="0.35">
      <c r="B216" s="16"/>
      <c r="C216" s="18"/>
      <c r="D216" s="16"/>
    </row>
    <row r="217" spans="2:4" x14ac:dyDescent="0.35">
      <c r="B217" s="16"/>
      <c r="C217" s="18"/>
      <c r="D217" s="16"/>
    </row>
    <row r="218" spans="2:4" x14ac:dyDescent="0.35">
      <c r="B218" s="16"/>
      <c r="C218" s="18"/>
      <c r="D218" s="16"/>
    </row>
    <row r="219" spans="2:4" x14ac:dyDescent="0.35">
      <c r="B219" s="16"/>
      <c r="C219" s="18"/>
      <c r="D219" s="16"/>
    </row>
    <row r="220" spans="2:4" x14ac:dyDescent="0.35">
      <c r="B220" s="16"/>
      <c r="C220" s="18"/>
      <c r="D220" s="16"/>
    </row>
    <row r="221" spans="2:4" x14ac:dyDescent="0.35">
      <c r="B221" s="16"/>
      <c r="C221" s="18"/>
      <c r="D221" s="16"/>
    </row>
    <row r="222" spans="2:4" x14ac:dyDescent="0.35">
      <c r="B222" s="16"/>
      <c r="C222" s="18"/>
      <c r="D222" s="16"/>
    </row>
    <row r="223" spans="2:4" x14ac:dyDescent="0.35">
      <c r="B223" s="16"/>
      <c r="C223" s="18"/>
      <c r="D223" s="16"/>
    </row>
    <row r="224" spans="2:4" x14ac:dyDescent="0.35">
      <c r="B224" s="16"/>
      <c r="C224" s="18"/>
      <c r="D224" s="16"/>
    </row>
    <row r="225" spans="2:4" x14ac:dyDescent="0.35">
      <c r="B225" s="16"/>
      <c r="C225" s="18"/>
      <c r="D225" s="16"/>
    </row>
    <row r="226" spans="2:4" x14ac:dyDescent="0.35">
      <c r="B226" s="16"/>
      <c r="C226" s="18"/>
      <c r="D226" s="16"/>
    </row>
    <row r="227" spans="2:4" x14ac:dyDescent="0.35">
      <c r="B227" s="16"/>
      <c r="C227" s="18"/>
      <c r="D227" s="16"/>
    </row>
    <row r="228" spans="2:4" x14ac:dyDescent="0.35">
      <c r="B228" s="16"/>
      <c r="C228" s="18"/>
      <c r="D228" s="16"/>
    </row>
    <row r="229" spans="2:4" x14ac:dyDescent="0.35">
      <c r="B229" s="16"/>
      <c r="C229" s="18"/>
      <c r="D229" s="16"/>
    </row>
    <row r="230" spans="2:4" x14ac:dyDescent="0.35">
      <c r="B230" s="16"/>
      <c r="C230" s="18"/>
      <c r="D230" s="16"/>
    </row>
    <row r="231" spans="2:4" x14ac:dyDescent="0.35">
      <c r="B231" s="16"/>
      <c r="C231" s="18"/>
      <c r="D231" s="16"/>
    </row>
    <row r="232" spans="2:4" x14ac:dyDescent="0.35">
      <c r="B232" s="16"/>
      <c r="C232" s="18"/>
      <c r="D232" s="16"/>
    </row>
    <row r="233" spans="2:4" x14ac:dyDescent="0.35">
      <c r="B233" s="16"/>
      <c r="C233" s="18"/>
      <c r="D233" s="16"/>
    </row>
    <row r="234" spans="2:4" x14ac:dyDescent="0.35">
      <c r="B234" s="16"/>
      <c r="C234" s="18"/>
      <c r="D234" s="16"/>
    </row>
    <row r="235" spans="2:4" x14ac:dyDescent="0.35">
      <c r="B235" s="16"/>
      <c r="C235" s="18"/>
      <c r="D235" s="16"/>
    </row>
    <row r="236" spans="2:4" x14ac:dyDescent="0.35">
      <c r="B236" s="16"/>
      <c r="C236" s="18"/>
      <c r="D236" s="16"/>
    </row>
    <row r="237" spans="2:4" x14ac:dyDescent="0.35">
      <c r="B237" s="16"/>
      <c r="C237" s="18"/>
      <c r="D237" s="16"/>
    </row>
    <row r="238" spans="2:4" x14ac:dyDescent="0.35">
      <c r="B238" s="16"/>
      <c r="C238" s="18"/>
      <c r="D238" s="16"/>
    </row>
    <row r="239" spans="2:4" x14ac:dyDescent="0.35">
      <c r="B239" s="16"/>
      <c r="C239" s="18"/>
      <c r="D239" s="16"/>
    </row>
    <row r="240" spans="2:4" x14ac:dyDescent="0.35">
      <c r="B240" s="16"/>
      <c r="C240" s="18"/>
      <c r="D240" s="16"/>
    </row>
    <row r="241" spans="2:4" x14ac:dyDescent="0.35">
      <c r="B241" s="16"/>
      <c r="C241" s="18"/>
      <c r="D241" s="16"/>
    </row>
    <row r="242" spans="2:4" x14ac:dyDescent="0.35">
      <c r="B242" s="16"/>
      <c r="C242" s="18"/>
      <c r="D242" s="16"/>
    </row>
    <row r="243" spans="2:4" x14ac:dyDescent="0.35">
      <c r="B243" s="16"/>
      <c r="C243" s="18"/>
      <c r="D243" s="16"/>
    </row>
    <row r="244" spans="2:4" x14ac:dyDescent="0.35">
      <c r="B244" s="16"/>
      <c r="C244" s="18"/>
      <c r="D244" s="16"/>
    </row>
    <row r="245" spans="2:4" x14ac:dyDescent="0.35">
      <c r="B245" s="16"/>
      <c r="C245" s="18"/>
      <c r="D245" s="16"/>
    </row>
    <row r="246" spans="2:4" x14ac:dyDescent="0.35">
      <c r="B246" s="16"/>
      <c r="C246" s="18"/>
      <c r="D246" s="16"/>
    </row>
    <row r="247" spans="2:4" x14ac:dyDescent="0.35">
      <c r="B247" s="16"/>
      <c r="C247" s="18"/>
      <c r="D247" s="16"/>
    </row>
    <row r="248" spans="2:4" x14ac:dyDescent="0.35">
      <c r="B248" s="16"/>
      <c r="C248" s="18"/>
      <c r="D248" s="16"/>
    </row>
    <row r="249" spans="2:4" x14ac:dyDescent="0.35">
      <c r="B249" s="16"/>
      <c r="C249" s="18"/>
      <c r="D249" s="16"/>
    </row>
    <row r="250" spans="2:4" x14ac:dyDescent="0.35">
      <c r="B250" s="16"/>
      <c r="C250" s="18"/>
      <c r="D250" s="16"/>
    </row>
    <row r="251" spans="2:4" x14ac:dyDescent="0.35">
      <c r="B251" s="16"/>
      <c r="C251" s="18"/>
      <c r="D251" s="16"/>
    </row>
    <row r="252" spans="2:4" x14ac:dyDescent="0.35">
      <c r="B252" s="16"/>
      <c r="C252" s="18"/>
      <c r="D252" s="16"/>
    </row>
    <row r="253" spans="2:4" x14ac:dyDescent="0.35">
      <c r="B253" s="16"/>
      <c r="C253" s="18"/>
      <c r="D253" s="16"/>
    </row>
    <row r="254" spans="2:4" x14ac:dyDescent="0.35">
      <c r="B254" s="16"/>
      <c r="C254" s="18"/>
      <c r="D254" s="16"/>
    </row>
    <row r="255" spans="2:4" x14ac:dyDescent="0.35">
      <c r="B255" s="16"/>
      <c r="C255" s="18"/>
      <c r="D255" s="16"/>
    </row>
    <row r="256" spans="2:4" x14ac:dyDescent="0.35">
      <c r="B256" s="16"/>
      <c r="C256" s="18"/>
      <c r="D256" s="16"/>
    </row>
    <row r="257" spans="2:4" x14ac:dyDescent="0.35">
      <c r="B257" s="16"/>
      <c r="C257" s="18"/>
      <c r="D257" s="16"/>
    </row>
    <row r="258" spans="2:4" x14ac:dyDescent="0.35">
      <c r="B258" s="16"/>
      <c r="C258" s="18"/>
      <c r="D258" s="16"/>
    </row>
    <row r="259" spans="2:4" x14ac:dyDescent="0.35">
      <c r="B259" s="16"/>
      <c r="C259" s="18"/>
      <c r="D259" s="16"/>
    </row>
    <row r="260" spans="2:4" x14ac:dyDescent="0.35">
      <c r="B260" s="16"/>
      <c r="C260" s="18"/>
      <c r="D260" s="16"/>
    </row>
    <row r="261" spans="2:4" x14ac:dyDescent="0.35">
      <c r="B261" s="16"/>
      <c r="C261" s="18"/>
      <c r="D261" s="16"/>
    </row>
    <row r="262" spans="2:4" x14ac:dyDescent="0.35">
      <c r="B262" s="16"/>
      <c r="C262" s="18"/>
      <c r="D262" s="16"/>
    </row>
    <row r="263" spans="2:4" x14ac:dyDescent="0.35">
      <c r="B263" s="16"/>
      <c r="C263" s="18"/>
      <c r="D263" s="16"/>
    </row>
    <row r="264" spans="2:4" x14ac:dyDescent="0.35">
      <c r="B264" s="16"/>
      <c r="C264" s="18"/>
      <c r="D264" s="16"/>
    </row>
    <row r="265" spans="2:4" x14ac:dyDescent="0.35">
      <c r="B265" s="16"/>
      <c r="C265" s="18"/>
      <c r="D265" s="16"/>
    </row>
    <row r="266" spans="2:4" x14ac:dyDescent="0.35">
      <c r="B266" s="16"/>
      <c r="C266" s="18"/>
      <c r="D266" s="16"/>
    </row>
    <row r="267" spans="2:4" x14ac:dyDescent="0.35">
      <c r="B267" s="16"/>
      <c r="C267" s="18"/>
      <c r="D267" s="16"/>
    </row>
    <row r="268" spans="2:4" x14ac:dyDescent="0.35">
      <c r="B268" s="16"/>
      <c r="C268" s="18"/>
      <c r="D268" s="16"/>
    </row>
    <row r="269" spans="2:4" x14ac:dyDescent="0.35">
      <c r="B269" s="16"/>
      <c r="C269" s="18"/>
      <c r="D269" s="16"/>
    </row>
    <row r="270" spans="2:4" x14ac:dyDescent="0.35">
      <c r="B270" s="16"/>
      <c r="C270" s="18"/>
      <c r="D270" s="16"/>
    </row>
    <row r="271" spans="2:4" x14ac:dyDescent="0.35">
      <c r="B271" s="16"/>
      <c r="C271" s="18"/>
      <c r="D271" s="16"/>
    </row>
    <row r="272" spans="2:4" x14ac:dyDescent="0.35">
      <c r="B272" s="16"/>
      <c r="C272" s="18"/>
      <c r="D272" s="16"/>
    </row>
    <row r="273" spans="2:4" x14ac:dyDescent="0.35">
      <c r="B273" s="16"/>
      <c r="C273" s="18"/>
      <c r="D273" s="16"/>
    </row>
    <row r="274" spans="2:4" x14ac:dyDescent="0.35">
      <c r="B274" s="16"/>
      <c r="C274" s="18"/>
      <c r="D274" s="16"/>
    </row>
    <row r="275" spans="2:4" x14ac:dyDescent="0.35">
      <c r="B275" s="16"/>
      <c r="C275" s="18"/>
      <c r="D275" s="16"/>
    </row>
    <row r="276" spans="2:4" x14ac:dyDescent="0.35">
      <c r="B276" s="16"/>
      <c r="C276" s="18"/>
      <c r="D276" s="16"/>
    </row>
    <row r="277" spans="2:4" x14ac:dyDescent="0.35">
      <c r="B277" s="16"/>
      <c r="C277" s="18"/>
      <c r="D277" s="16"/>
    </row>
    <row r="278" spans="2:4" x14ac:dyDescent="0.35">
      <c r="B278" s="16"/>
      <c r="C278" s="18"/>
      <c r="D278" s="16"/>
    </row>
    <row r="279" spans="2:4" x14ac:dyDescent="0.35">
      <c r="B279" s="16"/>
      <c r="C279" s="18"/>
      <c r="D279" s="16"/>
    </row>
    <row r="280" spans="2:4" x14ac:dyDescent="0.35">
      <c r="B280" s="16"/>
      <c r="C280" s="18"/>
      <c r="D280" s="16"/>
    </row>
    <row r="281" spans="2:4" x14ac:dyDescent="0.35">
      <c r="B281" s="16"/>
      <c r="C281" s="18"/>
      <c r="D281" s="16"/>
    </row>
    <row r="282" spans="2:4" x14ac:dyDescent="0.35">
      <c r="B282" s="16"/>
      <c r="C282" s="18"/>
      <c r="D282" s="16"/>
    </row>
    <row r="283" spans="2:4" x14ac:dyDescent="0.35">
      <c r="B283" s="16"/>
      <c r="C283" s="18"/>
      <c r="D283" s="16"/>
    </row>
    <row r="284" spans="2:4" x14ac:dyDescent="0.35">
      <c r="B284" s="16"/>
      <c r="C284" s="18"/>
      <c r="D284" s="16"/>
    </row>
    <row r="285" spans="2:4" x14ac:dyDescent="0.35">
      <c r="B285" s="16"/>
      <c r="C285" s="18"/>
      <c r="D285" s="16"/>
    </row>
    <row r="286" spans="2:4" x14ac:dyDescent="0.35">
      <c r="B286" s="16"/>
      <c r="C286" s="18"/>
      <c r="D286" s="16"/>
    </row>
    <row r="287" spans="2:4" x14ac:dyDescent="0.35">
      <c r="B287" s="16"/>
      <c r="C287" s="18"/>
      <c r="D287" s="16"/>
    </row>
    <row r="288" spans="2:4" x14ac:dyDescent="0.35">
      <c r="B288" s="16"/>
      <c r="C288" s="18"/>
      <c r="D288" s="16"/>
    </row>
    <row r="289" spans="2:4" x14ac:dyDescent="0.35">
      <c r="B289" s="16"/>
      <c r="C289" s="18"/>
      <c r="D289" s="16"/>
    </row>
    <row r="290" spans="2:4" x14ac:dyDescent="0.35">
      <c r="B290" s="16"/>
      <c r="C290" s="18"/>
      <c r="D290" s="16"/>
    </row>
    <row r="291" spans="2:4" x14ac:dyDescent="0.35">
      <c r="B291" s="16"/>
      <c r="C291" s="18"/>
      <c r="D291" s="16"/>
    </row>
    <row r="292" spans="2:4" x14ac:dyDescent="0.35">
      <c r="B292" s="16"/>
      <c r="C292" s="18"/>
      <c r="D292" s="16"/>
    </row>
    <row r="293" spans="2:4" x14ac:dyDescent="0.35">
      <c r="B293" s="16"/>
      <c r="C293" s="18"/>
      <c r="D293" s="16"/>
    </row>
    <row r="294" spans="2:4" x14ac:dyDescent="0.35">
      <c r="B294" s="16"/>
      <c r="C294" s="18"/>
      <c r="D294" s="16"/>
    </row>
    <row r="295" spans="2:4" x14ac:dyDescent="0.35">
      <c r="B295" s="16"/>
      <c r="C295" s="18"/>
      <c r="D295" s="16"/>
    </row>
    <row r="296" spans="2:4" x14ac:dyDescent="0.35">
      <c r="B296" s="16"/>
      <c r="C296" s="18"/>
      <c r="D296" s="16"/>
    </row>
    <row r="297" spans="2:4" x14ac:dyDescent="0.35">
      <c r="B297" s="16"/>
      <c r="C297" s="18"/>
      <c r="D297" s="16"/>
    </row>
    <row r="298" spans="2:4" x14ac:dyDescent="0.35">
      <c r="B298" s="16"/>
      <c r="C298" s="18"/>
      <c r="D298" s="16"/>
    </row>
    <row r="299" spans="2:4" x14ac:dyDescent="0.35">
      <c r="B299" s="16"/>
      <c r="C299" s="18"/>
      <c r="D299" s="16"/>
    </row>
    <row r="300" spans="2:4" x14ac:dyDescent="0.35">
      <c r="B300" s="16"/>
      <c r="C300" s="18"/>
      <c r="D300" s="16"/>
    </row>
    <row r="301" spans="2:4" x14ac:dyDescent="0.35">
      <c r="B301" s="16"/>
      <c r="C301" s="18"/>
      <c r="D301" s="16"/>
    </row>
    <row r="302" spans="2:4" x14ac:dyDescent="0.35">
      <c r="B302" s="16"/>
      <c r="C302" s="18"/>
      <c r="D302" s="16"/>
    </row>
    <row r="303" spans="2:4" x14ac:dyDescent="0.35">
      <c r="B303" s="16"/>
      <c r="C303" s="18"/>
      <c r="D303" s="16"/>
    </row>
    <row r="304" spans="2:4" x14ac:dyDescent="0.35">
      <c r="B304" s="16"/>
      <c r="C304" s="18"/>
      <c r="D304" s="16"/>
    </row>
    <row r="305" spans="2:4" x14ac:dyDescent="0.35">
      <c r="B305" s="16"/>
      <c r="C305" s="18"/>
      <c r="D305" s="16"/>
    </row>
    <row r="306" spans="2:4" x14ac:dyDescent="0.35">
      <c r="B306" s="16"/>
      <c r="C306" s="18"/>
      <c r="D306" s="16"/>
    </row>
    <row r="307" spans="2:4" x14ac:dyDescent="0.35">
      <c r="B307" s="16"/>
      <c r="C307" s="18"/>
      <c r="D307" s="16"/>
    </row>
    <row r="308" spans="2:4" x14ac:dyDescent="0.35">
      <c r="B308" s="16"/>
      <c r="C308" s="18"/>
      <c r="D308" s="16"/>
    </row>
    <row r="309" spans="2:4" x14ac:dyDescent="0.35">
      <c r="B309" s="16"/>
      <c r="C309" s="18"/>
      <c r="D309" s="16"/>
    </row>
    <row r="310" spans="2:4" x14ac:dyDescent="0.35">
      <c r="B310" s="16"/>
      <c r="C310" s="18"/>
      <c r="D310" s="16"/>
    </row>
    <row r="311" spans="2:4" x14ac:dyDescent="0.35">
      <c r="B311" s="16"/>
      <c r="C311" s="18"/>
      <c r="D311" s="16"/>
    </row>
    <row r="312" spans="2:4" x14ac:dyDescent="0.35">
      <c r="B312" s="16"/>
      <c r="C312" s="18"/>
      <c r="D312" s="16"/>
    </row>
    <row r="313" spans="2:4" x14ac:dyDescent="0.35">
      <c r="B313" s="16"/>
      <c r="C313" s="18"/>
      <c r="D313" s="16"/>
    </row>
    <row r="314" spans="2:4" x14ac:dyDescent="0.35">
      <c r="B314" s="16"/>
      <c r="C314" s="18"/>
      <c r="D314" s="16"/>
    </row>
    <row r="315" spans="2:4" x14ac:dyDescent="0.35">
      <c r="B315" s="16"/>
      <c r="C315" s="18"/>
      <c r="D315" s="16"/>
    </row>
  </sheetData>
  <sheetProtection sheet="1" objects="1" scenarios="1" formatCells="0" formatColumns="0" formatRows="0" sort="0" autoFilter="0"/>
  <autoFilter ref="B2:P315" xr:uid="{521A791B-FFF3-4B5E-89B2-5ABAA6FF9935}"/>
  <mergeCells count="13">
    <mergeCell ref="C53:D53"/>
    <mergeCell ref="L4:L5"/>
    <mergeCell ref="M4:M5"/>
    <mergeCell ref="C44:D44"/>
    <mergeCell ref="B4:B5"/>
    <mergeCell ref="C4:C5"/>
    <mergeCell ref="D4:D5"/>
    <mergeCell ref="E4:F4"/>
    <mergeCell ref="G4:I4"/>
    <mergeCell ref="J4:J5"/>
    <mergeCell ref="B6:B7"/>
    <mergeCell ref="C6:C7"/>
    <mergeCell ref="M6:M7"/>
  </mergeCells>
  <phoneticPr fontId="11" type="noConversion"/>
  <dataValidations disablePrompts="1" count="1">
    <dataValidation type="list" allowBlank="1" showInputMessage="1" showErrorMessage="1" sqref="C2" xr:uid="{A2FFD94A-BCF4-43F0-B767-4C439165A6A5}">
      <formula1>MC_On_Off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C49F-B749-4E5E-A943-283E7D2D4824}">
  <sheetPr codeName="Sheet7">
    <tabColor theme="9" tint="0.39997558519241921"/>
  </sheetPr>
  <dimension ref="B2:H58"/>
  <sheetViews>
    <sheetView workbookViewId="0"/>
  </sheetViews>
  <sheetFormatPr defaultColWidth="8.81640625" defaultRowHeight="14.5" x14ac:dyDescent="0.35"/>
  <cols>
    <col min="1" max="1" width="2" style="24" customWidth="1"/>
    <col min="2" max="2" width="47.26953125" style="119" bestFit="1" customWidth="1"/>
    <col min="3" max="3" width="24.7265625" style="176" customWidth="1"/>
    <col min="4" max="4" width="122.1796875" style="177" customWidth="1"/>
    <col min="5" max="5" width="37.453125" style="178" customWidth="1"/>
    <col min="6" max="6" width="21" style="179" bestFit="1" customWidth="1"/>
    <col min="7" max="16384" width="8.81640625" style="24"/>
  </cols>
  <sheetData>
    <row r="2" spans="2:6" ht="18.5" x14ac:dyDescent="0.45">
      <c r="B2" s="175" t="s">
        <v>227</v>
      </c>
    </row>
    <row r="3" spans="2:6" ht="13.5" customHeight="1" x14ac:dyDescent="0.35"/>
    <row r="4" spans="2:6" ht="33.75" customHeight="1" x14ac:dyDescent="0.35">
      <c r="B4" s="180" t="s">
        <v>228</v>
      </c>
      <c r="C4" s="181" t="s">
        <v>117</v>
      </c>
      <c r="D4" s="180" t="s">
        <v>229</v>
      </c>
      <c r="E4" s="180" t="s">
        <v>230</v>
      </c>
      <c r="F4" s="181" t="s">
        <v>118</v>
      </c>
    </row>
    <row r="5" spans="2:6" ht="33.75" customHeight="1" x14ac:dyDescent="0.45">
      <c r="B5" s="182" t="s">
        <v>231</v>
      </c>
      <c r="C5" s="183" t="s">
        <v>232</v>
      </c>
      <c r="D5" s="184" t="s">
        <v>233</v>
      </c>
      <c r="E5" s="185" t="e">
        <f ca="1">F_chem_side*F_side_SPF</f>
        <v>#NAME?</v>
      </c>
      <c r="F5" s="186" t="s">
        <v>234</v>
      </c>
    </row>
    <row r="6" spans="2:6" ht="23.25" customHeight="1" x14ac:dyDescent="0.45">
      <c r="B6" s="187" t="s">
        <v>235</v>
      </c>
      <c r="C6" s="183" t="s">
        <v>236</v>
      </c>
      <c r="D6" s="184" t="s">
        <v>237</v>
      </c>
      <c r="E6" s="188">
        <f>A_app_site*RHO_SPF*T_SPF*kg_per_lb</f>
        <v>467.02656000000007</v>
      </c>
      <c r="F6" s="189" t="s">
        <v>238</v>
      </c>
    </row>
    <row r="7" spans="2:6" ht="23.25" customHeight="1" x14ac:dyDescent="0.45">
      <c r="B7" s="187" t="s">
        <v>81</v>
      </c>
      <c r="C7" s="183" t="s">
        <v>82</v>
      </c>
      <c r="D7" s="184" t="s">
        <v>239</v>
      </c>
      <c r="E7" s="190" t="e">
        <f ca="1">(Q_SPF_site*F_chem_SPF)/TIME_operating_days_site</f>
        <v>#NAME?</v>
      </c>
      <c r="F7" s="189" t="s">
        <v>240</v>
      </c>
    </row>
    <row r="8" spans="2:6" ht="23.25" customHeight="1" x14ac:dyDescent="0.45">
      <c r="B8" s="187" t="s">
        <v>241</v>
      </c>
      <c r="C8" s="183" t="s">
        <v>242</v>
      </c>
      <c r="D8" s="184" t="s">
        <v>243</v>
      </c>
      <c r="E8" s="190" t="e">
        <f ca="1">(Q_SPF_site*F_chem_SPF)</f>
        <v>#NAME?</v>
      </c>
      <c r="F8" s="189" t="s">
        <v>244</v>
      </c>
    </row>
    <row r="9" spans="2:6" ht="30" x14ac:dyDescent="0.45">
      <c r="B9" s="187" t="s">
        <v>245</v>
      </c>
      <c r="C9" s="183" t="s">
        <v>246</v>
      </c>
      <c r="D9" s="184" t="s">
        <v>247</v>
      </c>
      <c r="E9" s="190">
        <f>Q_chem_yr/N_sites</f>
        <v>11.675664000000003</v>
      </c>
      <c r="F9" s="189" t="s">
        <v>240</v>
      </c>
    </row>
    <row r="10" spans="2:6" ht="16.5" x14ac:dyDescent="0.45">
      <c r="B10" s="187" t="s">
        <v>248</v>
      </c>
      <c r="C10" s="183" t="s">
        <v>249</v>
      </c>
      <c r="D10" s="184" t="s">
        <v>250</v>
      </c>
      <c r="E10" s="190">
        <v>1</v>
      </c>
      <c r="F10" s="186" t="s">
        <v>251</v>
      </c>
    </row>
    <row r="11" spans="2:6" ht="16.5" x14ac:dyDescent="0.45">
      <c r="B11" s="191" t="s">
        <v>252</v>
      </c>
      <c r="C11" s="183" t="s">
        <v>253</v>
      </c>
      <c r="D11" s="184" t="s">
        <v>254</v>
      </c>
      <c r="E11" s="190">
        <f>ROUND((N_sites*TIME_operating_days_site)/TIMEoperating_days_contractor,0)</f>
        <v>0</v>
      </c>
      <c r="F11" s="186" t="s">
        <v>255</v>
      </c>
    </row>
    <row r="12" spans="2:6" ht="16.5" x14ac:dyDescent="0.45">
      <c r="B12" s="191" t="s">
        <v>103</v>
      </c>
      <c r="C12" s="183" t="s">
        <v>104</v>
      </c>
      <c r="D12" s="184" t="s">
        <v>256</v>
      </c>
      <c r="E12" s="190" t="e">
        <f ca="1">Q_chem_site_day_recalc/(F_chem_side*V_container*RHO_formulation*L_per_gal)</f>
        <v>#NAME?</v>
      </c>
      <c r="F12" s="186" t="s">
        <v>257</v>
      </c>
    </row>
    <row r="13" spans="2:6" ht="16.5" x14ac:dyDescent="0.45">
      <c r="B13" s="191" t="s">
        <v>103</v>
      </c>
      <c r="C13" s="183" t="s">
        <v>258</v>
      </c>
      <c r="D13" s="184" t="s">
        <v>259</v>
      </c>
      <c r="E13" s="190" t="e">
        <f ca="1">N_container_unload_site_day*TIME_operating_days_site</f>
        <v>#NAME?</v>
      </c>
      <c r="F13" s="186" t="s">
        <v>257</v>
      </c>
    </row>
    <row r="14" spans="2:6" ht="30" x14ac:dyDescent="0.45">
      <c r="B14" s="191" t="s">
        <v>260</v>
      </c>
      <c r="C14" s="183" t="s">
        <v>261</v>
      </c>
      <c r="D14" s="184" t="s">
        <v>262</v>
      </c>
      <c r="E14" s="190" t="e">
        <f>(1*TIME_operating_days_site)/N_contractor</f>
        <v>#DIV/0!</v>
      </c>
      <c r="F14" s="186" t="s">
        <v>251</v>
      </c>
    </row>
    <row r="15" spans="2:6" ht="16.5" x14ac:dyDescent="0.45">
      <c r="B15" s="191" t="s">
        <v>83</v>
      </c>
      <c r="C15" s="183" t="s">
        <v>87</v>
      </c>
      <c r="D15" s="184" t="s">
        <v>263</v>
      </c>
      <c r="E15" s="190" t="e">
        <f ca="1">IF(N_container_unload_site_day&gt;TIME_operating_days_company,TIME_operating_days_company,N_container_unload_site_day)</f>
        <v>#NAME?</v>
      </c>
      <c r="F15" s="186" t="s">
        <v>264</v>
      </c>
    </row>
    <row r="16" spans="2:6" ht="16.5" x14ac:dyDescent="0.45">
      <c r="B16" s="191" t="s">
        <v>265</v>
      </c>
      <c r="C16" s="183" t="s">
        <v>266</v>
      </c>
      <c r="D16" s="184" t="s">
        <v>267</v>
      </c>
      <c r="E16" s="190" t="e">
        <f ca="1">N_container_unload_site_day/RATE_unload</f>
        <v>#NAME?</v>
      </c>
      <c r="F16" s="186" t="s">
        <v>268</v>
      </c>
    </row>
    <row r="17" spans="2:8" ht="35.25" customHeight="1" x14ac:dyDescent="0.45">
      <c r="B17" s="137" t="s">
        <v>269</v>
      </c>
      <c r="C17" s="183" t="s">
        <v>270</v>
      </c>
      <c r="D17" s="192" t="s">
        <v>271</v>
      </c>
      <c r="E17" s="193" t="e" cm="1">
        <f t="array" aca="1" ref="E17" ca="1">_xll.RiskOutput(,"Releases per Release Day",1)+(((F_saturation_unloading*MW_trans12DCE*V_container*cm3_per_gal*(RATE_unload/s_per_hr)*F_vapor_pressure*(VP/P_torr))/(R_atm_cm3_per_mol_K*TEMP))*(N_container_unload_site_day/RATE_unload)*(s_per_hr/g_per_kg))</f>
        <v>#NAME?</v>
      </c>
      <c r="F17" s="189" t="s">
        <v>272</v>
      </c>
    </row>
    <row r="18" spans="2:8" ht="30" x14ac:dyDescent="0.45">
      <c r="B18" s="137" t="s">
        <v>273</v>
      </c>
      <c r="C18" s="183" t="s">
        <v>274</v>
      </c>
      <c r="D18" s="183" t="s">
        <v>275</v>
      </c>
      <c r="E18" s="193" t="e" cm="1">
        <f t="array" aca="1" ref="E18" ca="1">_xll.RiskOutput(,"Annual Releases",1)+Release_Day_RP1*TIME_operating_days_site*N_sites</f>
        <v>#NAME?</v>
      </c>
      <c r="F18" s="189" t="s">
        <v>276</v>
      </c>
    </row>
    <row r="19" spans="2:8" ht="80.5" x14ac:dyDescent="0.45">
      <c r="B19" s="137" t="s">
        <v>277</v>
      </c>
      <c r="C19" s="183" t="s">
        <v>278</v>
      </c>
      <c r="D19" s="194" t="s">
        <v>279</v>
      </c>
      <c r="E19" s="193" t="e" cm="1">
        <f t="array" aca="1" ref="E19" ca="1">_xll.RiskOutput(,"Releases per Release Day",2)+IF(N_container_unload_site_yr&lt;TIME_operating_days_site,(V_container*RHO_formulation*F_chem_side*F_container_disp*N_container_unload_site_day),(Q_chem_site_day*F_container_disp))</f>
        <v>#NAME?</v>
      </c>
      <c r="F19" s="189" t="s">
        <v>272</v>
      </c>
    </row>
    <row r="20" spans="2:8" ht="44.5" x14ac:dyDescent="0.45">
      <c r="B20" s="137" t="s">
        <v>280</v>
      </c>
      <c r="C20" s="183" t="s">
        <v>281</v>
      </c>
      <c r="D20" s="183" t="s">
        <v>282</v>
      </c>
      <c r="E20" s="193" t="e" cm="1">
        <f t="array" aca="1" ref="E20" ca="1">_xll.RiskOutput(,"Annual Releases",2)+Release_Day_RP2*TIME_operating_days_site*N_sites</f>
        <v>#NAME?</v>
      </c>
      <c r="F20" s="189" t="s">
        <v>276</v>
      </c>
    </row>
    <row r="21" spans="2:8" ht="47.5" x14ac:dyDescent="0.45">
      <c r="B21" s="137" t="s">
        <v>283</v>
      </c>
      <c r="C21" s="183" t="s">
        <v>284</v>
      </c>
      <c r="D21" s="184" t="s">
        <v>285</v>
      </c>
      <c r="E21" s="193" t="e" cm="1">
        <f t="array" aca="1" ref="E21" ca="1">_xll.RiskOutput(,"Releases per Release Day",3)+(0.0000000824*POWER(MW_trans12DCE,0.835)*VP*POWER((1/29)+(1/MW_trans12DCE),0.25)*POWER(RATE_air_speed,0.5)*(AREA_opening))/(POWER(TEMP,0.05)*POWER(D_opening,0.5)*POWER(P_atm,0.5))*(TIME_operating_days_site)*(s_per_hr*kg_per_g)</f>
        <v>#NAME?</v>
      </c>
      <c r="F21" s="189" t="s">
        <v>272</v>
      </c>
      <c r="H21" s="195"/>
    </row>
    <row r="22" spans="2:8" ht="30" x14ac:dyDescent="0.45">
      <c r="B22" s="137" t="s">
        <v>286</v>
      </c>
      <c r="C22" s="183" t="s">
        <v>287</v>
      </c>
      <c r="D22" s="183" t="s">
        <v>288</v>
      </c>
      <c r="E22" s="193" t="e" cm="1">
        <f t="array" aca="1" ref="E22" ca="1">_xll.RiskOutput(,"Annual Releases",3)+Release_Day_RP3*TIME_operating_days_site*N_sites</f>
        <v>#NAME?</v>
      </c>
      <c r="F22" s="189" t="s">
        <v>276</v>
      </c>
      <c r="H22" s="195"/>
    </row>
    <row r="23" spans="2:8" ht="44.5" x14ac:dyDescent="0.45">
      <c r="B23" s="137" t="s">
        <v>289</v>
      </c>
      <c r="C23" s="183" t="s">
        <v>290</v>
      </c>
      <c r="D23" s="183" t="s">
        <v>291</v>
      </c>
      <c r="E23" s="193" t="e" cm="1">
        <f t="array" aca="1" ref="E23" ca="1">_xll.RiskOutput(,"Releases per Release Day",4)+Q_chem_site_day*F_equipment_cleaning</f>
        <v>#NAME?</v>
      </c>
      <c r="F23" s="189" t="s">
        <v>272</v>
      </c>
      <c r="H23" s="195"/>
    </row>
    <row r="24" spans="2:8" ht="44.5" x14ac:dyDescent="0.45">
      <c r="B24" s="137" t="s">
        <v>292</v>
      </c>
      <c r="C24" s="183" t="s">
        <v>293</v>
      </c>
      <c r="D24" s="183" t="s">
        <v>294</v>
      </c>
      <c r="E24" s="193" t="e" cm="1">
        <f t="array" aca="1" ref="E24" ca="1">_xll.RiskOutput(,"Annual Releases",4)+Release_Day_RP4*TIME_operating_days_site*N_sites</f>
        <v>#NAME?</v>
      </c>
      <c r="F24" s="189" t="s">
        <v>276</v>
      </c>
      <c r="H24" s="195"/>
    </row>
    <row r="25" spans="2:8" ht="30" x14ac:dyDescent="0.45">
      <c r="B25" s="40" t="s">
        <v>295</v>
      </c>
      <c r="C25" s="183" t="s">
        <v>296</v>
      </c>
      <c r="D25" s="183" t="s">
        <v>297</v>
      </c>
      <c r="E25" s="193" t="e" cm="1">
        <f t="array" aca="1" ref="E25" ca="1">_xll.RiskOutput(,"Releases per Release Day",5)+Q_chem_site_day*F_spray_release</f>
        <v>#NAME?</v>
      </c>
      <c r="F25" s="189" t="s">
        <v>272</v>
      </c>
      <c r="H25" s="195"/>
    </row>
    <row r="26" spans="2:8" ht="30" x14ac:dyDescent="0.45">
      <c r="B26" s="40" t="s">
        <v>298</v>
      </c>
      <c r="C26" s="183" t="s">
        <v>299</v>
      </c>
      <c r="D26" s="183" t="s">
        <v>300</v>
      </c>
      <c r="E26" s="193" t="e" cm="1">
        <f t="array" aca="1" ref="E26" ca="1">_xll.RiskOutput(,"Annual Releases",5)+Release_Day_RP5*TIME_operating_days_site*N_sites</f>
        <v>#NAME?</v>
      </c>
      <c r="F26" s="189" t="s">
        <v>276</v>
      </c>
      <c r="H26" s="195"/>
    </row>
    <row r="27" spans="2:8" ht="30" x14ac:dyDescent="0.45">
      <c r="B27" s="40" t="s">
        <v>301</v>
      </c>
      <c r="C27" s="183" t="s">
        <v>302</v>
      </c>
      <c r="D27" s="183" t="s">
        <v>303</v>
      </c>
      <c r="E27" s="193" t="e" cm="1">
        <f t="array" aca="1" ref="E27" ca="1">_xll.RiskOutput(,"Releases per Release Day",6)+Q_chem_site_day*F_trimming</f>
        <v>#NAME?</v>
      </c>
      <c r="F27" s="189" t="s">
        <v>272</v>
      </c>
      <c r="H27" s="195"/>
    </row>
    <row r="28" spans="2:8" ht="30" x14ac:dyDescent="0.45">
      <c r="B28" s="40" t="s">
        <v>304</v>
      </c>
      <c r="C28" s="183" t="s">
        <v>305</v>
      </c>
      <c r="D28" s="183" t="s">
        <v>306</v>
      </c>
      <c r="E28" s="193" t="e" cm="1">
        <f t="array" aca="1" ref="E28" ca="1">_xll.RiskOutput(,"Annual Releases",6)+Release_Day_RP6*TIME_operating_days_site*N_sites</f>
        <v>#NAME?</v>
      </c>
      <c r="F28" s="189" t="s">
        <v>276</v>
      </c>
      <c r="H28" s="195"/>
    </row>
    <row r="29" spans="2:8" x14ac:dyDescent="0.35">
      <c r="B29" s="187" t="s">
        <v>307</v>
      </c>
      <c r="C29" s="183" t="s">
        <v>308</v>
      </c>
      <c r="D29" s="183" t="s">
        <v>309</v>
      </c>
      <c r="E29" s="193" t="e">
        <f ca="1">SUM(Release_Day_RP1,Release_Day_RP3, Release_Day_RP5)</f>
        <v>#NAME?</v>
      </c>
      <c r="F29" s="189" t="s">
        <v>272</v>
      </c>
      <c r="H29" s="195"/>
    </row>
    <row r="30" spans="2:8" ht="16.5" x14ac:dyDescent="0.45">
      <c r="B30" s="187" t="s">
        <v>310</v>
      </c>
      <c r="C30" s="183" t="s">
        <v>311</v>
      </c>
      <c r="D30" s="183" t="s">
        <v>312</v>
      </c>
      <c r="E30" s="193" t="e">
        <f ca="1">Release_Day_Air*TIME_operating_days_site*N_sites</f>
        <v>#NAME?</v>
      </c>
      <c r="F30" s="189" t="s">
        <v>276</v>
      </c>
      <c r="H30" s="195"/>
    </row>
    <row r="31" spans="2:8" x14ac:dyDescent="0.35">
      <c r="B31" s="187" t="s">
        <v>313</v>
      </c>
      <c r="C31" s="183" t="s">
        <v>314</v>
      </c>
      <c r="D31" s="183" t="s">
        <v>315</v>
      </c>
      <c r="E31" s="193" t="e">
        <f ca="1">SUM(Release_Day_RP2,Release_Day_RP4,Release_Day_RP6)</f>
        <v>#NAME?</v>
      </c>
      <c r="F31" s="189" t="s">
        <v>272</v>
      </c>
      <c r="H31" s="195"/>
    </row>
    <row r="32" spans="2:8" ht="16.5" x14ac:dyDescent="0.45">
      <c r="B32" s="187" t="s">
        <v>316</v>
      </c>
      <c r="C32" s="183" t="s">
        <v>317</v>
      </c>
      <c r="D32" s="183" t="s">
        <v>318</v>
      </c>
      <c r="E32" s="193" t="e">
        <f ca="1">Release_Day_Wat_Inc_Lan*TIME_operating_days_site*N_sites</f>
        <v>#NAME?</v>
      </c>
      <c r="F32" s="189" t="s">
        <v>276</v>
      </c>
      <c r="H32" s="195"/>
    </row>
    <row r="33" spans="2:8" x14ac:dyDescent="0.35">
      <c r="D33" s="84"/>
      <c r="H33" s="195"/>
    </row>
    <row r="34" spans="2:8" x14ac:dyDescent="0.35">
      <c r="H34" s="195"/>
    </row>
    <row r="40" spans="2:8" s="196" customFormat="1" ht="66" customHeight="1" x14ac:dyDescent="0.35">
      <c r="B40" s="119"/>
      <c r="C40" s="176"/>
      <c r="D40" s="177"/>
      <c r="E40" s="178"/>
      <c r="F40" s="179"/>
      <c r="H40" s="197"/>
    </row>
    <row r="41" spans="2:8" s="196" customFormat="1" ht="60" customHeight="1" x14ac:dyDescent="0.35">
      <c r="B41" s="119"/>
      <c r="C41" s="176"/>
      <c r="D41" s="177"/>
      <c r="E41" s="178"/>
      <c r="F41" s="179"/>
    </row>
    <row r="42" spans="2:8" s="196" customFormat="1" ht="160.5" customHeight="1" x14ac:dyDescent="0.35">
      <c r="B42" s="119"/>
      <c r="C42" s="176"/>
      <c r="D42" s="177"/>
      <c r="E42" s="178"/>
      <c r="F42" s="179"/>
    </row>
    <row r="43" spans="2:8" s="196" customFormat="1" ht="156" customHeight="1" x14ac:dyDescent="0.35">
      <c r="B43" s="119"/>
      <c r="C43" s="176"/>
      <c r="D43" s="177"/>
      <c r="E43" s="178"/>
      <c r="F43" s="179"/>
    </row>
    <row r="44" spans="2:8" s="196" customFormat="1" ht="162" customHeight="1" x14ac:dyDescent="0.35">
      <c r="B44" s="119"/>
      <c r="C44" s="176"/>
      <c r="D44" s="177"/>
      <c r="E44" s="178"/>
      <c r="F44" s="179"/>
    </row>
    <row r="45" spans="2:8" s="196" customFormat="1" ht="40.5" customHeight="1" x14ac:dyDescent="0.35">
      <c r="B45" s="119"/>
      <c r="C45" s="176"/>
      <c r="D45" s="177"/>
      <c r="E45" s="178"/>
      <c r="F45" s="179"/>
    </row>
    <row r="46" spans="2:8" ht="156" customHeight="1" x14ac:dyDescent="0.35">
      <c r="G46" s="196"/>
    </row>
    <row r="47" spans="2:8" ht="74.25" customHeight="1" x14ac:dyDescent="0.35"/>
    <row r="48" spans="2:8" ht="53.25" customHeight="1" x14ac:dyDescent="0.35"/>
    <row r="58" ht="33" customHeight="1" x14ac:dyDescent="0.35"/>
  </sheetData>
  <sheetProtection sheet="1" objects="1" scenarios="1" formatCells="0" formatColumns="0" formatRows="0" sort="0" autoFilter="0"/>
  <autoFilter ref="B2:H58" xr:uid="{DAD2C49F-B749-4E5E-A943-283E7D2D4824}"/>
  <conditionalFormatting sqref="E6:E32">
    <cfRule type="cellIs" dxfId="2" priority="1" operator="greaterThanOrEqual">
      <formula>100</formula>
    </cfRule>
    <cfRule type="cellIs" dxfId="1" priority="2" operator="between">
      <formula>1</formula>
      <formula>99</formula>
    </cfRule>
    <cfRule type="cellIs" dxfId="0" priority="3" operator="lessThan">
      <formula>1</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1AF7-143D-48B4-8F86-8F21DBA33507}">
  <sheetPr codeName="Sheet8">
    <tabColor theme="9" tint="0.39997558519241921"/>
  </sheetPr>
  <dimension ref="A1:L167"/>
  <sheetViews>
    <sheetView workbookViewId="0"/>
  </sheetViews>
  <sheetFormatPr defaultRowHeight="14.5" x14ac:dyDescent="0.35"/>
  <cols>
    <col min="1" max="1" width="23.26953125" style="84" customWidth="1"/>
    <col min="2" max="2" width="19.81640625" style="16" customWidth="1"/>
    <col min="3" max="12" width="21.7265625" style="16" customWidth="1"/>
    <col min="13" max="13" width="7.54296875" style="16" customWidth="1"/>
    <col min="14" max="16384" width="8.7265625" style="16"/>
  </cols>
  <sheetData>
    <row r="1" spans="1:12" x14ac:dyDescent="0.35">
      <c r="A1" s="198" t="s">
        <v>319</v>
      </c>
      <c r="B1" s="199"/>
    </row>
    <row r="2" spans="1:12" ht="29" x14ac:dyDescent="0.35">
      <c r="A2" s="137" t="s">
        <v>320</v>
      </c>
      <c r="B2" s="144">
        <f>ROUND(PV,0)</f>
        <v>12</v>
      </c>
    </row>
    <row r="4" spans="1:12" ht="15" customHeight="1" x14ac:dyDescent="0.35">
      <c r="A4" s="198" t="s">
        <v>321</v>
      </c>
      <c r="B4" s="199"/>
    </row>
    <row r="5" spans="1:12" x14ac:dyDescent="0.35">
      <c r="A5" s="39" t="s">
        <v>322</v>
      </c>
      <c r="B5" s="200">
        <v>100000</v>
      </c>
    </row>
    <row r="6" spans="1:12" x14ac:dyDescent="0.35">
      <c r="A6" s="39" t="s">
        <v>323</v>
      </c>
      <c r="B6" s="56" t="s">
        <v>324</v>
      </c>
    </row>
    <row r="8" spans="1:12" x14ac:dyDescent="0.35">
      <c r="A8" s="16"/>
      <c r="B8" s="201" t="s">
        <v>325</v>
      </c>
      <c r="C8" s="201"/>
      <c r="D8" s="109"/>
      <c r="E8" s="109"/>
    </row>
    <row r="9" spans="1:12" ht="44.5" x14ac:dyDescent="0.45">
      <c r="A9" s="202" t="s">
        <v>326</v>
      </c>
      <c r="B9" s="203" t="s">
        <v>46</v>
      </c>
      <c r="C9" s="203" t="s">
        <v>327</v>
      </c>
      <c r="E9" s="202" t="s">
        <v>328</v>
      </c>
      <c r="F9" s="204" t="s">
        <v>329</v>
      </c>
      <c r="H9" s="202" t="s">
        <v>330</v>
      </c>
      <c r="I9" s="204" t="s">
        <v>331</v>
      </c>
      <c r="K9" s="202"/>
      <c r="L9" s="205"/>
    </row>
    <row r="10" spans="1:12" x14ac:dyDescent="0.35">
      <c r="A10" s="206" t="s">
        <v>144</v>
      </c>
      <c r="B10" s="207" t="e" cm="1">
        <f t="array" aca="1" ref="B10" ca="1">_xll.RiskMax(Release_Year_Air)</f>
        <v>#NAME?</v>
      </c>
      <c r="C10" s="207" t="e" cm="1">
        <f t="array" aca="1" ref="C10" ca="1">_xll.RiskMax(Release_Year_Wat_Inc_Lan)</f>
        <v>#NAME?</v>
      </c>
      <c r="E10" s="206" t="s">
        <v>144</v>
      </c>
      <c r="F10" s="208" t="e" cm="1">
        <f t="array" aca="1" ref="F10" ca="1">_xll.RiskMax(Q_chem_site_yr)</f>
        <v>#NAME?</v>
      </c>
      <c r="H10" s="206" t="s">
        <v>144</v>
      </c>
      <c r="I10" s="208" t="e" cm="1">
        <f t="array" aca="1" ref="I10" ca="1">_xll.RiskMax(Q_chem_site_day)</f>
        <v>#NAME?</v>
      </c>
      <c r="K10" s="209"/>
      <c r="L10" s="210"/>
    </row>
    <row r="11" spans="1:12" x14ac:dyDescent="0.35">
      <c r="A11" s="206" t="s">
        <v>332</v>
      </c>
      <c r="B11" s="207" t="e" cm="1">
        <f t="array" aca="1" ref="B11" ca="1">_xll.RiskPercentile(Release_Year_Air,0.99)</f>
        <v>#NAME?</v>
      </c>
      <c r="C11" s="207" t="e" cm="1">
        <f t="array" aca="1" ref="C11" ca="1">_xll.RiskPercentile(Release_Year_Wat_Inc_Lan,0.99)</f>
        <v>#NAME?</v>
      </c>
      <c r="E11" s="206" t="s">
        <v>332</v>
      </c>
      <c r="F11" s="208" t="e" cm="1">
        <f t="array" aca="1" ref="F11" ca="1">_xll.RiskPercentile(Q_chem_site_yr,0.99)</f>
        <v>#NAME?</v>
      </c>
      <c r="H11" s="206" t="s">
        <v>332</v>
      </c>
      <c r="I11" s="208" t="e" cm="1">
        <f t="array" aca="1" ref="I11" ca="1">_xll.RiskPercentile(Q_chem_site_day,0.99)</f>
        <v>#NAME?</v>
      </c>
      <c r="K11" s="209"/>
      <c r="L11" s="210"/>
    </row>
    <row r="12" spans="1:12" x14ac:dyDescent="0.35">
      <c r="A12" s="206" t="s">
        <v>34</v>
      </c>
      <c r="B12" s="207" t="e" cm="1">
        <f t="array" aca="1" ref="B12" ca="1">_xll.RiskPercentile(Release_Year_Air,0.95)</f>
        <v>#NAME?</v>
      </c>
      <c r="C12" s="207" t="e" cm="1">
        <f t="array" aca="1" ref="C12" ca="1">_xll.RiskPercentile(Release_Year_Wat_Inc_Lan,0.95)</f>
        <v>#NAME?</v>
      </c>
      <c r="E12" s="206" t="s">
        <v>34</v>
      </c>
      <c r="F12" s="208" t="e" cm="1">
        <f t="array" aca="1" ref="F12" ca="1">_xll.RiskPercentile(Q_chem_site_yr,0.95)</f>
        <v>#NAME?</v>
      </c>
      <c r="H12" s="206" t="s">
        <v>34</v>
      </c>
      <c r="I12" s="208" t="e" cm="1">
        <f t="array" aca="1" ref="I12" ca="1">_xll.RiskPercentile(Q_chem_site_day,0.95)</f>
        <v>#NAME?</v>
      </c>
      <c r="K12" s="209"/>
      <c r="L12" s="210"/>
    </row>
    <row r="13" spans="1:12" x14ac:dyDescent="0.35">
      <c r="A13" s="206" t="s">
        <v>33</v>
      </c>
      <c r="B13" s="207" t="e" cm="1">
        <f t="array" aca="1" ref="B13" ca="1">_xll.RiskPercentile(Release_Year_Air,0.5)</f>
        <v>#NAME?</v>
      </c>
      <c r="C13" s="207" t="e" cm="1">
        <f t="array" aca="1" ref="C13" ca="1">_xll.RiskPercentile(Release_Year_Wat_Inc_Lan,0.5)</f>
        <v>#NAME?</v>
      </c>
      <c r="E13" s="206" t="s">
        <v>33</v>
      </c>
      <c r="F13" s="208" t="e" cm="1">
        <f t="array" aca="1" ref="F13" ca="1">_xll.RiskPercentile(Q_chem_site_yr,0.5)</f>
        <v>#NAME?</v>
      </c>
      <c r="H13" s="206" t="s">
        <v>33</v>
      </c>
      <c r="I13" s="208" t="e" cm="1">
        <f t="array" aca="1" ref="I13" ca="1">_xll.RiskPercentile(Q_chem_site_day,0.5)</f>
        <v>#NAME?</v>
      </c>
      <c r="K13" s="209"/>
      <c r="L13" s="210"/>
    </row>
    <row r="14" spans="1:12" x14ac:dyDescent="0.35">
      <c r="A14" s="206" t="s">
        <v>333</v>
      </c>
      <c r="B14" s="207" t="e" cm="1">
        <f t="array" aca="1" ref="B14" ca="1">_xll.RiskPercentile(Release_Year_Air,0.05)</f>
        <v>#NAME?</v>
      </c>
      <c r="C14" s="207" t="e" cm="1">
        <f t="array" aca="1" ref="C14" ca="1">_xll.RiskPercentile(Release_Year_Wat_Inc_Lan,0.05)</f>
        <v>#NAME?</v>
      </c>
      <c r="E14" s="206" t="s">
        <v>333</v>
      </c>
      <c r="F14" s="208" t="e" cm="1">
        <f t="array" aca="1" ref="F14" ca="1">_xll.RiskPercentile(Q_chem_site_yr,0.05)</f>
        <v>#NAME?</v>
      </c>
      <c r="H14" s="206" t="s">
        <v>333</v>
      </c>
      <c r="I14" s="208" t="e" cm="1">
        <f t="array" aca="1" ref="I14" ca="1">_xll.RiskPercentile(Q_chem_site_day,0.05)</f>
        <v>#NAME?</v>
      </c>
      <c r="K14" s="209"/>
      <c r="L14" s="210"/>
    </row>
    <row r="15" spans="1:12" x14ac:dyDescent="0.35">
      <c r="A15" s="206" t="s">
        <v>334</v>
      </c>
      <c r="B15" s="207" t="e" cm="1">
        <f t="array" aca="1" ref="B15" ca="1">_xll.RiskMin(Release_Year_Air)</f>
        <v>#NAME?</v>
      </c>
      <c r="C15" s="207" t="e" cm="1">
        <f t="array" aca="1" ref="C15" ca="1">_xll.RiskMin(Release_Year_Wat_Inc_Lan)</f>
        <v>#NAME?</v>
      </c>
      <c r="E15" s="206" t="s">
        <v>334</v>
      </c>
      <c r="F15" s="208" t="e" cm="1">
        <f t="array" aca="1" ref="F15" ca="1">_xll.RiskMin(Q_chem_site_yr)</f>
        <v>#NAME?</v>
      </c>
      <c r="H15" s="206" t="s">
        <v>334</v>
      </c>
      <c r="I15" s="211" t="e" cm="1">
        <f t="array" aca="1" ref="I15" ca="1">_xll.RiskMin(Q_chem_site_day)</f>
        <v>#NAME?</v>
      </c>
      <c r="K15" s="209"/>
      <c r="L15" s="210"/>
    </row>
    <row r="16" spans="1:12" x14ac:dyDescent="0.35">
      <c r="A16" s="206" t="s">
        <v>335</v>
      </c>
      <c r="B16" s="207" t="e" cm="1">
        <f t="array" aca="1" ref="B16" ca="1">_xll.RiskMean(Release_Year_Air)</f>
        <v>#NAME?</v>
      </c>
      <c r="C16" s="207" t="e" cm="1">
        <f t="array" aca="1" ref="C16" ca="1">_xll.RiskMean(Release_Year_Wat_Inc_Lan)</f>
        <v>#NAME?</v>
      </c>
      <c r="E16" s="206" t="s">
        <v>335</v>
      </c>
      <c r="F16" s="208" t="e" cm="1">
        <f t="array" aca="1" ref="F16" ca="1">_xll.RiskMean(Q_chem_site_yr)</f>
        <v>#NAME?</v>
      </c>
      <c r="H16" s="206" t="s">
        <v>335</v>
      </c>
      <c r="I16" s="208" t="e" cm="1">
        <f t="array" aca="1" ref="I16" ca="1">_xll.RiskMean(Q_chem_site_day)</f>
        <v>#NAME?</v>
      </c>
      <c r="K16" s="209"/>
      <c r="L16" s="210"/>
    </row>
    <row r="17" spans="1:9" x14ac:dyDescent="0.35">
      <c r="A17" s="212"/>
      <c r="B17" s="212"/>
      <c r="C17" s="212"/>
    </row>
    <row r="18" spans="1:9" ht="59" x14ac:dyDescent="0.45">
      <c r="A18" s="213" t="s">
        <v>336</v>
      </c>
      <c r="B18" s="137"/>
      <c r="C18" s="137"/>
      <c r="E18" s="202" t="s">
        <v>29</v>
      </c>
      <c r="F18" s="214" t="s">
        <v>98</v>
      </c>
      <c r="H18" s="202" t="s">
        <v>337</v>
      </c>
      <c r="I18" s="204" t="s">
        <v>338</v>
      </c>
    </row>
    <row r="19" spans="1:9" x14ac:dyDescent="0.35">
      <c r="A19" s="206" t="s">
        <v>144</v>
      </c>
      <c r="B19" s="207" t="e" cm="1">
        <f t="array" aca="1" ref="B19" ca="1">_xll.RiskMax(Release_Day_Air)</f>
        <v>#NAME?</v>
      </c>
      <c r="C19" s="207" t="e" cm="1">
        <f t="array" aca="1" ref="C19" ca="1">_xll.RiskMax(Release_Day_Wat_Inc_Lan)</f>
        <v>#NAME?</v>
      </c>
      <c r="E19" s="215" t="s">
        <v>144</v>
      </c>
      <c r="F19" s="146" t="e" cm="1">
        <f t="array" aca="1" ref="F19" ca="1">_xll.RiskMax(N_sites)</f>
        <v>#NAME?</v>
      </c>
      <c r="H19" s="206" t="s">
        <v>144</v>
      </c>
      <c r="I19" s="208" t="e" cm="1">
        <f t="array" aca="1" ref="I19" ca="1">_xll.RiskMax(N_container_unload_site_day)</f>
        <v>#NAME?</v>
      </c>
    </row>
    <row r="20" spans="1:9" x14ac:dyDescent="0.35">
      <c r="A20" s="206" t="s">
        <v>332</v>
      </c>
      <c r="B20" s="207" t="e" cm="1">
        <f t="array" aca="1" ref="B20" ca="1">_xll.RiskPercentile(Release_Day_Air,0.99)</f>
        <v>#NAME?</v>
      </c>
      <c r="C20" s="207" t="e" cm="1">
        <f t="array" aca="1" ref="C20" ca="1">_xll.RiskPercentile(Release_Day_Wat_Inc_Lan,0.99)</f>
        <v>#NAME?</v>
      </c>
      <c r="E20" s="54" t="s">
        <v>332</v>
      </c>
      <c r="F20" s="146" t="e" cm="1">
        <f t="array" aca="1" ref="F20" ca="1">_xll.RiskPercentile(N_sites,0.99)</f>
        <v>#NAME?</v>
      </c>
      <c r="H20" s="206" t="s">
        <v>332</v>
      </c>
      <c r="I20" s="208" t="e" cm="1">
        <f t="array" aca="1" ref="I20" ca="1">_xll.RiskPercentile(N_container_unload_site_day,0.99)</f>
        <v>#NAME?</v>
      </c>
    </row>
    <row r="21" spans="1:9" x14ac:dyDescent="0.35">
      <c r="A21" s="206" t="s">
        <v>34</v>
      </c>
      <c r="B21" s="207" t="e" cm="1">
        <f t="array" aca="1" ref="B21" ca="1">_xll.RiskPercentile(Release_Day_Air,0.95)</f>
        <v>#NAME?</v>
      </c>
      <c r="C21" s="207" t="e" cm="1">
        <f t="array" aca="1" ref="C21" ca="1">_xll.RiskPercentile(Release_Day_Wat_Inc_Lan,0.95)</f>
        <v>#NAME?</v>
      </c>
      <c r="E21" s="215" t="s">
        <v>34</v>
      </c>
      <c r="F21" s="146" t="e" cm="1">
        <f t="array" aca="1" ref="F21" ca="1">_xll.RiskPercentile(N_sites,0.95)</f>
        <v>#NAME?</v>
      </c>
      <c r="H21" s="206" t="s">
        <v>34</v>
      </c>
      <c r="I21" s="208" t="e" cm="1">
        <f t="array" aca="1" ref="I21" ca="1">_xll.RiskPercentile(N_container_unload_site_day,0.95)</f>
        <v>#NAME?</v>
      </c>
    </row>
    <row r="22" spans="1:9" x14ac:dyDescent="0.35">
      <c r="A22" s="206" t="s">
        <v>33</v>
      </c>
      <c r="B22" s="207" t="e" cm="1">
        <f t="array" aca="1" ref="B22" ca="1">_xll.RiskPercentile(Release_Day_Air,0.5)</f>
        <v>#NAME?</v>
      </c>
      <c r="C22" s="207" t="e" cm="1">
        <f t="array" aca="1" ref="C22" ca="1">_xll.RiskPercentile(Release_Day_Wat_Inc_Lan,0.5)</f>
        <v>#NAME?</v>
      </c>
      <c r="E22" s="215" t="s">
        <v>33</v>
      </c>
      <c r="F22" s="146" t="e" cm="1">
        <f t="array" aca="1" ref="F22" ca="1">_xll.RiskPercentile(N_sites,0.5)</f>
        <v>#NAME?</v>
      </c>
      <c r="H22" s="206" t="s">
        <v>33</v>
      </c>
      <c r="I22" s="208" t="e" cm="1">
        <f t="array" aca="1" ref="I22" ca="1">_xll.RiskPercentile(N_container_unload_site_day,0.5)</f>
        <v>#NAME?</v>
      </c>
    </row>
    <row r="23" spans="1:9" x14ac:dyDescent="0.35">
      <c r="A23" s="206" t="s">
        <v>333</v>
      </c>
      <c r="B23" s="207" t="e" cm="1">
        <f t="array" aca="1" ref="B23" ca="1">_xll.RiskPercentile(Release_Day_Air,0.05)</f>
        <v>#NAME?</v>
      </c>
      <c r="C23" s="207" t="e" cm="1">
        <f t="array" aca="1" ref="C23" ca="1">_xll.RiskPercentile(Release_Day_Wat_Inc_Lan,0.05)</f>
        <v>#NAME?</v>
      </c>
      <c r="E23" s="54" t="s">
        <v>333</v>
      </c>
      <c r="F23" s="146" t="e" cm="1">
        <f t="array" aca="1" ref="F23" ca="1">_xll.RiskPercentile(N_sites,0.05)</f>
        <v>#NAME?</v>
      </c>
      <c r="H23" s="206" t="s">
        <v>333</v>
      </c>
      <c r="I23" s="208" t="e" cm="1">
        <f t="array" aca="1" ref="I23" ca="1">_xll.RiskPercentile(N_container_unload_site_day,0.05)</f>
        <v>#NAME?</v>
      </c>
    </row>
    <row r="24" spans="1:9" x14ac:dyDescent="0.35">
      <c r="A24" s="206" t="s">
        <v>334</v>
      </c>
      <c r="B24" s="207" t="e" cm="1">
        <f t="array" aca="1" ref="B24" ca="1">_xll.RiskMin(Release_Day_Air)</f>
        <v>#NAME?</v>
      </c>
      <c r="C24" s="207" t="e" cm="1">
        <f t="array" aca="1" ref="C24" ca="1">_xll.RiskMin(Release_Day_Wat_Inc_Lan)</f>
        <v>#NAME?</v>
      </c>
      <c r="E24" s="215" t="s">
        <v>334</v>
      </c>
      <c r="F24" s="144" t="e" cm="1">
        <f t="array" aca="1" ref="F24" ca="1">_xll.RiskMin(N_sites)</f>
        <v>#NAME?</v>
      </c>
      <c r="H24" s="206" t="s">
        <v>334</v>
      </c>
      <c r="I24" s="208" t="e" cm="1">
        <f t="array" aca="1" ref="I24" ca="1">_xll.RiskMin(N_container_unload_site_day)</f>
        <v>#NAME?</v>
      </c>
    </row>
    <row r="25" spans="1:9" x14ac:dyDescent="0.35">
      <c r="A25" s="206" t="s">
        <v>335</v>
      </c>
      <c r="B25" s="207" t="e" cm="1">
        <f t="array" aca="1" ref="B25" ca="1">_xll.RiskMean(Release_Day_Air)</f>
        <v>#NAME?</v>
      </c>
      <c r="C25" s="207" t="e" cm="1">
        <f t="array" aca="1" ref="C25" ca="1">_xll.RiskMean(Release_Day_Wat_Inc_Lan)</f>
        <v>#NAME?</v>
      </c>
      <c r="E25" s="215" t="s">
        <v>335</v>
      </c>
      <c r="F25" s="144" t="e" cm="1">
        <f t="array" aca="1" ref="F25" ca="1">ROUND(_xll.RiskMean(N_sites),0)</f>
        <v>#NAME?</v>
      </c>
      <c r="H25" s="206" t="s">
        <v>335</v>
      </c>
      <c r="I25" s="208" t="e" cm="1">
        <f t="array" aca="1" ref="I25" ca="1">_xll.RiskMean(N_container_unload_site_day)</f>
        <v>#NAME?</v>
      </c>
    </row>
    <row r="28" spans="1:9" ht="15" thickBot="1" x14ac:dyDescent="0.4">
      <c r="A28" s="216"/>
      <c r="B28" s="217" t="s">
        <v>339</v>
      </c>
      <c r="C28" s="218"/>
      <c r="D28" s="218"/>
      <c r="E28" s="218"/>
      <c r="F28" s="218"/>
    </row>
    <row r="29" spans="1:9" ht="114" customHeight="1" x14ac:dyDescent="0.35">
      <c r="A29" s="157" t="s">
        <v>72</v>
      </c>
      <c r="B29" s="219" t="s">
        <v>35</v>
      </c>
      <c r="C29" s="220" t="s">
        <v>37</v>
      </c>
      <c r="D29" s="220" t="s">
        <v>39</v>
      </c>
      <c r="E29" s="219" t="s">
        <v>40</v>
      </c>
      <c r="F29" s="220" t="s">
        <v>42</v>
      </c>
      <c r="G29" s="220" t="s">
        <v>43</v>
      </c>
    </row>
    <row r="30" spans="1:9" ht="65.25" customHeight="1" thickBot="1" x14ac:dyDescent="0.4">
      <c r="A30" s="157" t="s">
        <v>73</v>
      </c>
      <c r="B30" s="221" t="s">
        <v>36</v>
      </c>
      <c r="C30" s="222" t="s">
        <v>38</v>
      </c>
      <c r="D30" s="222" t="s">
        <v>36</v>
      </c>
      <c r="E30" s="223" t="s">
        <v>41</v>
      </c>
      <c r="F30" s="222" t="s">
        <v>36</v>
      </c>
      <c r="G30" s="222" t="s">
        <v>44</v>
      </c>
    </row>
    <row r="31" spans="1:9" ht="56.25" customHeight="1" x14ac:dyDescent="0.35">
      <c r="A31" s="157" t="s">
        <v>340</v>
      </c>
      <c r="B31" s="137" t="s">
        <v>341</v>
      </c>
      <c r="C31" s="137" t="s">
        <v>341</v>
      </c>
      <c r="D31" s="137" t="s">
        <v>341</v>
      </c>
      <c r="E31" s="137" t="s">
        <v>341</v>
      </c>
      <c r="F31" s="137" t="s">
        <v>341</v>
      </c>
      <c r="G31" s="137" t="s">
        <v>341</v>
      </c>
    </row>
    <row r="32" spans="1:9" x14ac:dyDescent="0.35">
      <c r="A32" s="224"/>
      <c r="B32" s="225"/>
      <c r="C32" s="225"/>
      <c r="D32" s="225"/>
      <c r="E32" s="225"/>
      <c r="F32" s="225"/>
      <c r="G32" s="225"/>
    </row>
    <row r="33" spans="1:8" ht="16.5" x14ac:dyDescent="0.45">
      <c r="A33" s="202" t="s">
        <v>342</v>
      </c>
      <c r="B33" s="214" t="s">
        <v>343</v>
      </c>
      <c r="C33" s="214" t="s">
        <v>344</v>
      </c>
      <c r="D33" s="214" t="s">
        <v>345</v>
      </c>
      <c r="E33" s="214" t="s">
        <v>346</v>
      </c>
      <c r="F33" s="214" t="s">
        <v>347</v>
      </c>
      <c r="G33" s="214" t="s">
        <v>348</v>
      </c>
    </row>
    <row r="34" spans="1:8" x14ac:dyDescent="0.35">
      <c r="A34" s="54" t="s">
        <v>144</v>
      </c>
      <c r="B34" s="207" t="e" cm="1">
        <f t="array" aca="1" ref="B34" ca="1">_xll.RiskMax(Release_Year_RP1)</f>
        <v>#NAME?</v>
      </c>
      <c r="C34" s="207" t="e" cm="1">
        <f t="array" aca="1" ref="C34" ca="1">_xll.RiskMax(Release_Year_RP2)</f>
        <v>#NAME?</v>
      </c>
      <c r="D34" s="207" t="e" cm="1">
        <f t="array" aca="1" ref="D34" ca="1">_xll.RiskMax(Release_Year_RP3)</f>
        <v>#NAME?</v>
      </c>
      <c r="E34" s="207" t="e" cm="1">
        <f t="array" aca="1" ref="E34" ca="1">_xll.RiskMax(Release_Year_RP4)</f>
        <v>#NAME?</v>
      </c>
      <c r="F34" s="207" t="e" cm="1">
        <f t="array" aca="1" ref="F34" ca="1">_xll.RiskMax(Release_Year_RP5)</f>
        <v>#NAME?</v>
      </c>
      <c r="G34" s="207" t="e" cm="1">
        <f t="array" aca="1" ref="G34" ca="1">_xll.RiskMax(Release_Year_RP6)</f>
        <v>#NAME?</v>
      </c>
      <c r="H34" s="210"/>
    </row>
    <row r="35" spans="1:8" x14ac:dyDescent="0.35">
      <c r="A35" s="54" t="s">
        <v>332</v>
      </c>
      <c r="B35" s="207" t="e" cm="1">
        <f t="array" aca="1" ref="B35" ca="1">_xll.RiskPercentile(Release_Year_RP1,0.99)</f>
        <v>#NAME?</v>
      </c>
      <c r="C35" s="207" t="e" cm="1">
        <f t="array" aca="1" ref="C35" ca="1">_xll.RiskPercentile(Release_Year_RP2,0.99)</f>
        <v>#NAME?</v>
      </c>
      <c r="D35" s="207" t="e" cm="1">
        <f t="array" aca="1" ref="D35" ca="1">_xll.RiskPercentile(Release_Year_RP3,0.99)</f>
        <v>#NAME?</v>
      </c>
      <c r="E35" s="207" t="e" cm="1">
        <f t="array" aca="1" ref="E35" ca="1">_xll.RiskPercentile(Release_Year_RP4,0.99)</f>
        <v>#NAME?</v>
      </c>
      <c r="F35" s="207" t="e" cm="1">
        <f t="array" aca="1" ref="F35" ca="1">_xll.RiskPercentile(Release_Year_RP5,0.99)</f>
        <v>#NAME?</v>
      </c>
      <c r="G35" s="207" t="e" cm="1">
        <f t="array" aca="1" ref="G35" ca="1">_xll.RiskPercentile(Release_Year_RP6,0.99)</f>
        <v>#NAME?</v>
      </c>
    </row>
    <row r="36" spans="1:8" x14ac:dyDescent="0.35">
      <c r="A36" s="54" t="s">
        <v>34</v>
      </c>
      <c r="B36" s="207" t="e" cm="1">
        <f t="array" aca="1" ref="B36" ca="1">_xll.RiskPercentile(Release_Year_RP1,0.95)</f>
        <v>#NAME?</v>
      </c>
      <c r="C36" s="207" t="e" cm="1">
        <f t="array" aca="1" ref="C36" ca="1">_xll.RiskPercentile(Release_Year_RP2,0.95)</f>
        <v>#NAME?</v>
      </c>
      <c r="D36" s="207" t="e" cm="1">
        <f t="array" aca="1" ref="D36" ca="1">_xll.RiskPercentile(Release_Year_RP3,0.95)</f>
        <v>#NAME?</v>
      </c>
      <c r="E36" s="207" t="e" cm="1">
        <f t="array" aca="1" ref="E36" ca="1">_xll.RiskPercentile(Release_Year_RP4,0.95)</f>
        <v>#NAME?</v>
      </c>
      <c r="F36" s="207" t="e" cm="1">
        <f t="array" aca="1" ref="F36" ca="1">_xll.RiskPercentile(Release_Year_RP5,0.95)</f>
        <v>#NAME?</v>
      </c>
      <c r="G36" s="207" t="e" cm="1">
        <f t="array" aca="1" ref="G36" ca="1">_xll.RiskPercentile(Release_Year_RP6,0.95)</f>
        <v>#NAME?</v>
      </c>
    </row>
    <row r="37" spans="1:8" x14ac:dyDescent="0.35">
      <c r="A37" s="54" t="s">
        <v>33</v>
      </c>
      <c r="B37" s="207" t="e" cm="1">
        <f t="array" aca="1" ref="B37" ca="1">_xll.RiskPercentile(Release_Year_RP1,0.5)</f>
        <v>#NAME?</v>
      </c>
      <c r="C37" s="207" t="e" cm="1">
        <f t="array" aca="1" ref="C37" ca="1">_xll.RiskPercentile(Release_Year_RP2,0.5)</f>
        <v>#NAME?</v>
      </c>
      <c r="D37" s="207" t="e" cm="1">
        <f t="array" aca="1" ref="D37" ca="1">_xll.RiskPercentile(Release_Year_RP3,0.5)</f>
        <v>#NAME?</v>
      </c>
      <c r="E37" s="207" t="e" cm="1">
        <f t="array" aca="1" ref="E37" ca="1">_xll.RiskPercentile(Release_Year_RP4,0.5)</f>
        <v>#NAME?</v>
      </c>
      <c r="F37" s="207" t="e" cm="1">
        <f t="array" aca="1" ref="F37" ca="1">_xll.RiskPercentile(Release_Year_RP5,0.5)</f>
        <v>#NAME?</v>
      </c>
      <c r="G37" s="207" t="e" cm="1">
        <f t="array" aca="1" ref="G37" ca="1">_xll.RiskPercentile(Release_Year_RP6,0.5)</f>
        <v>#NAME?</v>
      </c>
    </row>
    <row r="38" spans="1:8" x14ac:dyDescent="0.35">
      <c r="A38" s="54" t="s">
        <v>333</v>
      </c>
      <c r="B38" s="207" t="e" cm="1">
        <f t="array" aca="1" ref="B38" ca="1">_xll.RiskPercentile(Release_Year_RP1,0.05)</f>
        <v>#NAME?</v>
      </c>
      <c r="C38" s="207" t="e" cm="1">
        <f t="array" aca="1" ref="C38" ca="1">_xll.RiskPercentile(Release_Year_RP2,0.05)</f>
        <v>#NAME?</v>
      </c>
      <c r="D38" s="207" t="e" cm="1">
        <f t="array" aca="1" ref="D38" ca="1">_xll.RiskPercentile(Release_Year_RP3,0.05)</f>
        <v>#NAME?</v>
      </c>
      <c r="E38" s="207" t="e" cm="1">
        <f t="array" aca="1" ref="E38" ca="1">_xll.RiskPercentile(Release_Year_RP4,0.05)</f>
        <v>#NAME?</v>
      </c>
      <c r="F38" s="207" t="e" cm="1">
        <f t="array" aca="1" ref="F38" ca="1">_xll.RiskPercentile(Release_Year_RP5,0.05)</f>
        <v>#NAME?</v>
      </c>
      <c r="G38" s="207" t="e" cm="1">
        <f t="array" aca="1" ref="G38" ca="1">_xll.RiskPercentile(Release_Year_RP6,0.05)</f>
        <v>#NAME?</v>
      </c>
    </row>
    <row r="39" spans="1:8" x14ac:dyDescent="0.35">
      <c r="A39" s="54" t="s">
        <v>334</v>
      </c>
      <c r="B39" s="207" t="e" cm="1">
        <f t="array" aca="1" ref="B39" ca="1">_xll.RiskMin(Release_Year_RP1)</f>
        <v>#NAME?</v>
      </c>
      <c r="C39" s="207" t="e" cm="1">
        <f t="array" aca="1" ref="C39" ca="1">_xll.RiskMin(Release_Year_RP2)</f>
        <v>#NAME?</v>
      </c>
      <c r="D39" s="207" t="e" cm="1">
        <f t="array" aca="1" ref="D39" ca="1">_xll.RiskMin(Release_Year_RP3)</f>
        <v>#NAME?</v>
      </c>
      <c r="E39" s="207" t="e" cm="1">
        <f t="array" aca="1" ref="E39" ca="1">_xll.RiskMin(Release_Year_RP4)</f>
        <v>#NAME?</v>
      </c>
      <c r="F39" s="207" t="e" cm="1">
        <f t="array" aca="1" ref="F39" ca="1">_xll.RiskMin(Release_Year_RP5)</f>
        <v>#NAME?</v>
      </c>
      <c r="G39" s="207" t="e" cm="1">
        <f t="array" aca="1" ref="G39" ca="1">_xll.RiskMin(Release_Year_RP6)</f>
        <v>#NAME?</v>
      </c>
      <c r="H39" s="210"/>
    </row>
    <row r="40" spans="1:8" x14ac:dyDescent="0.35">
      <c r="A40" s="54" t="s">
        <v>335</v>
      </c>
      <c r="B40" s="207" t="e" cm="1">
        <f t="array" aca="1" ref="B40" ca="1">_xll.RiskMean(Release_Year_RP1)</f>
        <v>#NAME?</v>
      </c>
      <c r="C40" s="207" t="e" cm="1">
        <f t="array" aca="1" ref="C40" ca="1">_xll.RiskMean(Release_Year_RP2)</f>
        <v>#NAME?</v>
      </c>
      <c r="D40" s="207" t="e" cm="1">
        <f t="array" aca="1" ref="D40" ca="1">_xll.RiskMean(Release_Year_RP3)</f>
        <v>#NAME?</v>
      </c>
      <c r="E40" s="207" t="e" cm="1">
        <f t="array" aca="1" ref="E40" ca="1">_xll.RiskMean(Release_Year_RP4)</f>
        <v>#NAME?</v>
      </c>
      <c r="F40" s="207" t="e" cm="1">
        <f t="array" aca="1" ref="F40" ca="1">_xll.RiskMean(Release_Year_RP5)</f>
        <v>#NAME?</v>
      </c>
      <c r="G40" s="207" t="e" cm="1">
        <f t="array" aca="1" ref="G40" ca="1">_xll.RiskMean(Release_Year_RP6)</f>
        <v>#NAME?</v>
      </c>
    </row>
    <row r="41" spans="1:8" x14ac:dyDescent="0.35">
      <c r="A41" s="212"/>
      <c r="B41" s="225"/>
      <c r="C41" s="225"/>
      <c r="D41" s="225"/>
      <c r="E41" s="225"/>
      <c r="F41" s="225"/>
      <c r="G41" s="225"/>
    </row>
    <row r="42" spans="1:8" ht="16.5" x14ac:dyDescent="0.45">
      <c r="A42" s="202" t="s">
        <v>349</v>
      </c>
      <c r="B42" s="214" t="s">
        <v>350</v>
      </c>
      <c r="C42" s="214" t="s">
        <v>351</v>
      </c>
      <c r="D42" s="214" t="s">
        <v>352</v>
      </c>
      <c r="E42" s="214" t="s">
        <v>353</v>
      </c>
      <c r="F42" s="214" t="s">
        <v>354</v>
      </c>
      <c r="G42" s="214" t="s">
        <v>355</v>
      </c>
    </row>
    <row r="43" spans="1:8" x14ac:dyDescent="0.35">
      <c r="A43" s="54" t="s">
        <v>144</v>
      </c>
      <c r="B43" s="207" t="e" cm="1">
        <f t="array" aca="1" ref="B43" ca="1">_xll.RiskMax(Release_Day_RP1)</f>
        <v>#NAME?</v>
      </c>
      <c r="C43" s="207" t="e" cm="1">
        <f t="array" aca="1" ref="C43" ca="1">_xll.RiskMax(Release_Day_RP2)</f>
        <v>#NAME?</v>
      </c>
      <c r="D43" s="207" t="e" cm="1">
        <f t="array" aca="1" ref="D43" ca="1">_xll.RiskMax(Release_Day_RP3)</f>
        <v>#NAME?</v>
      </c>
      <c r="E43" s="207" t="e" cm="1">
        <f t="array" aca="1" ref="E43" ca="1">_xll.RiskMax(Release_Day_RP4)</f>
        <v>#NAME?</v>
      </c>
      <c r="F43" s="207" t="e" cm="1">
        <f t="array" aca="1" ref="F43" ca="1">_xll.RiskMax(Release_Day_RP5)</f>
        <v>#NAME?</v>
      </c>
      <c r="G43" s="207" t="e" cm="1">
        <f t="array" aca="1" ref="G43" ca="1">_xll.RiskMax(Release_Day_RP6)</f>
        <v>#NAME?</v>
      </c>
    </row>
    <row r="44" spans="1:8" x14ac:dyDescent="0.35">
      <c r="A44" s="54" t="s">
        <v>332</v>
      </c>
      <c r="B44" s="207" t="e" cm="1">
        <f t="array" aca="1" ref="B44" ca="1">_xll.RiskPercentile(Release_Day_RP1,0.99)</f>
        <v>#NAME?</v>
      </c>
      <c r="C44" s="207" t="e" cm="1">
        <f t="array" aca="1" ref="C44" ca="1">_xll.RiskPercentile(Release_Day_RP2,0.99)</f>
        <v>#NAME?</v>
      </c>
      <c r="D44" s="207" t="e" cm="1">
        <f t="array" aca="1" ref="D44" ca="1">_xll.RiskPercentile(Release_Day_RP3,0.99)</f>
        <v>#NAME?</v>
      </c>
      <c r="E44" s="207" t="e" cm="1">
        <f t="array" aca="1" ref="E44" ca="1">_xll.RiskPercentile(Release_Day_RP4,0.99)</f>
        <v>#NAME?</v>
      </c>
      <c r="F44" s="207" t="e" cm="1">
        <f t="array" aca="1" ref="F44" ca="1">_xll.RiskPercentile(Release_Day_RP5,0.99)</f>
        <v>#NAME?</v>
      </c>
      <c r="G44" s="207" t="e" cm="1">
        <f t="array" aca="1" ref="G44" ca="1">_xll.RiskPercentile(Release_Day_RP6,0.99)</f>
        <v>#NAME?</v>
      </c>
    </row>
    <row r="45" spans="1:8" x14ac:dyDescent="0.35">
      <c r="A45" s="54" t="s">
        <v>34</v>
      </c>
      <c r="B45" s="207" t="e" cm="1">
        <f t="array" aca="1" ref="B45" ca="1">_xll.RiskPercentile(Release_Day_RP1,0.95)</f>
        <v>#NAME?</v>
      </c>
      <c r="C45" s="207" t="e" cm="1">
        <f t="array" aca="1" ref="C45" ca="1">_xll.RiskPercentile(Release_Day_RP2,0.95)</f>
        <v>#NAME?</v>
      </c>
      <c r="D45" s="207" t="e" cm="1">
        <f t="array" aca="1" ref="D45" ca="1">_xll.RiskPercentile(Release_Day_RP3,0.95)</f>
        <v>#NAME?</v>
      </c>
      <c r="E45" s="207" t="e" cm="1">
        <f t="array" aca="1" ref="E45" ca="1">_xll.RiskPercentile(Release_Day_RP4,0.95)</f>
        <v>#NAME?</v>
      </c>
      <c r="F45" s="207" t="e" cm="1">
        <f t="array" aca="1" ref="F45" ca="1">_xll.RiskPercentile(Release_Day_RP5,0.95)</f>
        <v>#NAME?</v>
      </c>
      <c r="G45" s="207" t="e" cm="1">
        <f t="array" aca="1" ref="G45" ca="1">_xll.RiskPercentile(Release_Day_RP6,0.95)</f>
        <v>#NAME?</v>
      </c>
    </row>
    <row r="46" spans="1:8" x14ac:dyDescent="0.35">
      <c r="A46" s="54" t="s">
        <v>33</v>
      </c>
      <c r="B46" s="207" t="e" cm="1">
        <f t="array" aca="1" ref="B46" ca="1">_xll.RiskPercentile(Release_Day_RP1,0.5)</f>
        <v>#NAME?</v>
      </c>
      <c r="C46" s="207" t="e" cm="1">
        <f t="array" aca="1" ref="C46" ca="1">_xll.RiskPercentile(Release_Day_RP2,0.5)</f>
        <v>#NAME?</v>
      </c>
      <c r="D46" s="207" t="e" cm="1">
        <f t="array" aca="1" ref="D46" ca="1">_xll.RiskPercentile(Release_Day_RP3,0.5)</f>
        <v>#NAME?</v>
      </c>
      <c r="E46" s="207" t="e" cm="1">
        <f t="array" aca="1" ref="E46" ca="1">_xll.RiskPercentile(Release_Day_RP4,0.5)</f>
        <v>#NAME?</v>
      </c>
      <c r="F46" s="207" t="e" cm="1">
        <f t="array" aca="1" ref="F46" ca="1">_xll.RiskPercentile(Release_Day_RP5,0.5)</f>
        <v>#NAME?</v>
      </c>
      <c r="G46" s="207" t="e" cm="1">
        <f t="array" aca="1" ref="G46" ca="1">_xll.RiskPercentile(Release_Day_RP6,0.5)</f>
        <v>#NAME?</v>
      </c>
    </row>
    <row r="47" spans="1:8" x14ac:dyDescent="0.35">
      <c r="A47" s="54" t="s">
        <v>333</v>
      </c>
      <c r="B47" s="207" t="e" cm="1">
        <f t="array" aca="1" ref="B47" ca="1">_xll.RiskPercentile(Release_Day_RP1,0.05)</f>
        <v>#NAME?</v>
      </c>
      <c r="C47" s="207" t="e" cm="1">
        <f t="array" aca="1" ref="C47" ca="1">_xll.RiskPercentile(Release_Day_RP2,0.05)</f>
        <v>#NAME?</v>
      </c>
      <c r="D47" s="207" t="e" cm="1">
        <f t="array" aca="1" ref="D47" ca="1">_xll.RiskPercentile(Release_Day_RP3,0.05)</f>
        <v>#NAME?</v>
      </c>
      <c r="E47" s="207" t="e" cm="1">
        <f t="array" aca="1" ref="E47" ca="1">_xll.RiskPercentile(Release_Day_RP4,0.05)</f>
        <v>#NAME?</v>
      </c>
      <c r="F47" s="207" t="e" cm="1">
        <f t="array" aca="1" ref="F47" ca="1">_xll.RiskPercentile(Release_Day_RP5,0.05)</f>
        <v>#NAME?</v>
      </c>
      <c r="G47" s="207" t="e" cm="1">
        <f t="array" aca="1" ref="G47" ca="1">_xll.RiskPercentile(Release_Day_RP6,0.05)</f>
        <v>#NAME?</v>
      </c>
    </row>
    <row r="48" spans="1:8" x14ac:dyDescent="0.35">
      <c r="A48" s="54" t="s">
        <v>334</v>
      </c>
      <c r="B48" s="207" t="e" cm="1">
        <f t="array" aca="1" ref="B48" ca="1">_xll.RiskMin(Release_Day_RP1)</f>
        <v>#NAME?</v>
      </c>
      <c r="C48" s="207" t="e" cm="1">
        <f t="array" aca="1" ref="C48" ca="1">_xll.RiskMin(Release_Day_RP2)</f>
        <v>#NAME?</v>
      </c>
      <c r="D48" s="207" t="e" cm="1">
        <f t="array" aca="1" ref="D48" ca="1">_xll.RiskMin(Release_Day_RP3)</f>
        <v>#NAME?</v>
      </c>
      <c r="E48" s="207" t="e" cm="1">
        <f t="array" aca="1" ref="E48" ca="1">_xll.RiskMin(Release_Day_RP4)</f>
        <v>#NAME?</v>
      </c>
      <c r="F48" s="207" t="e" cm="1">
        <f t="array" aca="1" ref="F48" ca="1">_xll.RiskMin(Release_Day_RP5)</f>
        <v>#NAME?</v>
      </c>
      <c r="G48" s="207" t="e" cm="1">
        <f t="array" aca="1" ref="G48" ca="1">_xll.RiskMin(Release_Day_RP6)</f>
        <v>#NAME?</v>
      </c>
    </row>
    <row r="49" spans="1:7" x14ac:dyDescent="0.35">
      <c r="A49" s="54" t="s">
        <v>335</v>
      </c>
      <c r="B49" s="207" t="e" cm="1">
        <f t="array" aca="1" ref="B49" ca="1">_xll.RiskMean(Release_Day_RP1)</f>
        <v>#NAME?</v>
      </c>
      <c r="C49" s="207" t="e" cm="1">
        <f t="array" aca="1" ref="C49" ca="1">_xll.RiskMean(Release_Day_RP2)</f>
        <v>#NAME?</v>
      </c>
      <c r="D49" s="207" t="e" cm="1">
        <f t="array" aca="1" ref="D49" ca="1">_xll.RiskMean(Release_Day_RP3)</f>
        <v>#NAME?</v>
      </c>
      <c r="E49" s="207" t="e" cm="1">
        <f t="array" aca="1" ref="E49" ca="1">_xll.RiskMean(Release_Day_RP4)</f>
        <v>#NAME?</v>
      </c>
      <c r="F49" s="207" t="e" cm="1">
        <f t="array" aca="1" ref="F49" ca="1">_xll.RiskMean(Release_Day_RP5)</f>
        <v>#NAME?</v>
      </c>
      <c r="G49" s="207" t="e" cm="1">
        <f t="array" aca="1" ref="G49" ca="1">_xll.RiskMean(Release_Day_RP6)</f>
        <v>#NAME?</v>
      </c>
    </row>
    <row r="50" spans="1:7" x14ac:dyDescent="0.35">
      <c r="A50" s="212"/>
      <c r="B50" s="225"/>
      <c r="C50" s="225"/>
      <c r="D50" s="225"/>
      <c r="E50" s="225"/>
      <c r="F50" s="225"/>
      <c r="G50" s="225"/>
    </row>
    <row r="51" spans="1:7" x14ac:dyDescent="0.35">
      <c r="A51" s="202"/>
    </row>
    <row r="53" spans="1:7" ht="15" customHeight="1" x14ac:dyDescent="0.35"/>
    <row r="54" spans="1:7" ht="20.25" customHeight="1" x14ac:dyDescent="0.35"/>
    <row r="59" spans="1:7" ht="29.25" customHeight="1" x14ac:dyDescent="0.35"/>
    <row r="60" spans="1:7" x14ac:dyDescent="0.35">
      <c r="A60" s="16"/>
    </row>
    <row r="61" spans="1:7" x14ac:dyDescent="0.35">
      <c r="A61" s="16"/>
    </row>
    <row r="62" spans="1:7" x14ac:dyDescent="0.35">
      <c r="A62" s="16"/>
    </row>
    <row r="63" spans="1:7" x14ac:dyDescent="0.35">
      <c r="A63" s="16"/>
    </row>
    <row r="64" spans="1:7" x14ac:dyDescent="0.35">
      <c r="A64" s="16"/>
    </row>
    <row r="65" s="16" customFormat="1" x14ac:dyDescent="0.35"/>
    <row r="66" s="16" customFormat="1" x14ac:dyDescent="0.35"/>
    <row r="67" s="16" customFormat="1" x14ac:dyDescent="0.35"/>
    <row r="68" s="16" customFormat="1" x14ac:dyDescent="0.35"/>
    <row r="69" s="16" customFormat="1" x14ac:dyDescent="0.35"/>
    <row r="70" s="16" customFormat="1" x14ac:dyDescent="0.35"/>
    <row r="71" s="16" customFormat="1" x14ac:dyDescent="0.35"/>
    <row r="72" s="16" customFormat="1" x14ac:dyDescent="0.35"/>
    <row r="73" s="16" customFormat="1" x14ac:dyDescent="0.35"/>
    <row r="74" s="16" customFormat="1" x14ac:dyDescent="0.35"/>
    <row r="75" s="16" customFormat="1" x14ac:dyDescent="0.35"/>
    <row r="76" s="16" customFormat="1" x14ac:dyDescent="0.35"/>
    <row r="77" s="16" customFormat="1" x14ac:dyDescent="0.35"/>
    <row r="78" s="16" customFormat="1" x14ac:dyDescent="0.35"/>
    <row r="79" s="16" customFormat="1" x14ac:dyDescent="0.35"/>
    <row r="80" s="16" customFormat="1" x14ac:dyDescent="0.35"/>
    <row r="81" s="16" customFormat="1" x14ac:dyDescent="0.35"/>
    <row r="82" s="16" customFormat="1" x14ac:dyDescent="0.35"/>
    <row r="83" s="16" customFormat="1" x14ac:dyDescent="0.35"/>
    <row r="84" s="16" customFormat="1" x14ac:dyDescent="0.35"/>
    <row r="85" s="16" customFormat="1" x14ac:dyDescent="0.35"/>
    <row r="86" s="16" customFormat="1" x14ac:dyDescent="0.35"/>
    <row r="87" s="16" customFormat="1" x14ac:dyDescent="0.35"/>
    <row r="88" s="16" customFormat="1" x14ac:dyDescent="0.35"/>
    <row r="89" s="16" customFormat="1" x14ac:dyDescent="0.35"/>
    <row r="90" s="16" customFormat="1" x14ac:dyDescent="0.35"/>
    <row r="91" s="16" customFormat="1" x14ac:dyDescent="0.35"/>
    <row r="92" s="16" customFormat="1" x14ac:dyDescent="0.35"/>
    <row r="93" s="16" customFormat="1" x14ac:dyDescent="0.35"/>
    <row r="94" s="16" customFormat="1" x14ac:dyDescent="0.35"/>
    <row r="95" s="16" customFormat="1" x14ac:dyDescent="0.35"/>
    <row r="96" s="16" customFormat="1" x14ac:dyDescent="0.35"/>
    <row r="97" s="16" customFormat="1" x14ac:dyDescent="0.35"/>
    <row r="98" s="16" customFormat="1" x14ac:dyDescent="0.35"/>
    <row r="99" s="16" customFormat="1" x14ac:dyDescent="0.35"/>
    <row r="100" s="16" customFormat="1" x14ac:dyDescent="0.35"/>
    <row r="101" s="16" customFormat="1" x14ac:dyDescent="0.35"/>
    <row r="102" s="16" customFormat="1" x14ac:dyDescent="0.35"/>
    <row r="103" s="16" customFormat="1" x14ac:dyDescent="0.35"/>
    <row r="104" s="16" customFormat="1" x14ac:dyDescent="0.35"/>
    <row r="105" s="16" customFormat="1" x14ac:dyDescent="0.35"/>
    <row r="106" s="16" customFormat="1" x14ac:dyDescent="0.35"/>
    <row r="107" s="16" customFormat="1" x14ac:dyDescent="0.35"/>
    <row r="108" s="16" customFormat="1" x14ac:dyDescent="0.35"/>
    <row r="109" s="16" customFormat="1" x14ac:dyDescent="0.35"/>
    <row r="110" s="16" customFormat="1" x14ac:dyDescent="0.35"/>
    <row r="111" s="16" customFormat="1" x14ac:dyDescent="0.35"/>
    <row r="112" s="16" customFormat="1" x14ac:dyDescent="0.35"/>
    <row r="113" s="16" customFormat="1" x14ac:dyDescent="0.35"/>
    <row r="114" s="16" customFormat="1" x14ac:dyDescent="0.35"/>
    <row r="115" s="16" customFormat="1" x14ac:dyDescent="0.35"/>
    <row r="116" s="16" customFormat="1" x14ac:dyDescent="0.35"/>
    <row r="117" s="16" customFormat="1" x14ac:dyDescent="0.35"/>
    <row r="118" s="16" customFormat="1" x14ac:dyDescent="0.35"/>
    <row r="119" s="16" customFormat="1" x14ac:dyDescent="0.35"/>
    <row r="120" s="16" customFormat="1" x14ac:dyDescent="0.35"/>
    <row r="121" s="16" customFormat="1" x14ac:dyDescent="0.35"/>
    <row r="122" s="16" customFormat="1" x14ac:dyDescent="0.35"/>
    <row r="123" s="16" customFormat="1" x14ac:dyDescent="0.35"/>
    <row r="124" s="16" customFormat="1" x14ac:dyDescent="0.35"/>
    <row r="125" s="16" customFormat="1" x14ac:dyDescent="0.35"/>
    <row r="126" s="16" customFormat="1" x14ac:dyDescent="0.35"/>
    <row r="127" s="16" customFormat="1" x14ac:dyDescent="0.35"/>
    <row r="128" s="16" customFormat="1" x14ac:dyDescent="0.35"/>
    <row r="129" s="16" customFormat="1" x14ac:dyDescent="0.35"/>
    <row r="130" s="16" customFormat="1" x14ac:dyDescent="0.35"/>
    <row r="131" s="16" customFormat="1" x14ac:dyDescent="0.35"/>
    <row r="132" s="16" customFormat="1" x14ac:dyDescent="0.35"/>
    <row r="133" s="16" customFormat="1" x14ac:dyDescent="0.35"/>
    <row r="134" s="16" customFormat="1" x14ac:dyDescent="0.35"/>
    <row r="135" s="16" customFormat="1" x14ac:dyDescent="0.35"/>
    <row r="136" s="16" customFormat="1" x14ac:dyDescent="0.35"/>
    <row r="137" s="16" customFormat="1" x14ac:dyDescent="0.35"/>
    <row r="138" s="16" customFormat="1" x14ac:dyDescent="0.35"/>
    <row r="139" s="16" customFormat="1" x14ac:dyDescent="0.35"/>
    <row r="140" s="16" customFormat="1" x14ac:dyDescent="0.35"/>
    <row r="141" s="16" customFormat="1" x14ac:dyDescent="0.35"/>
    <row r="142" s="16" customFormat="1" x14ac:dyDescent="0.35"/>
    <row r="143" s="16" customFormat="1" x14ac:dyDescent="0.35"/>
    <row r="144" s="16" customFormat="1" x14ac:dyDescent="0.35"/>
    <row r="145" s="16" customFormat="1" x14ac:dyDescent="0.35"/>
    <row r="146" s="16" customFormat="1" x14ac:dyDescent="0.35"/>
    <row r="147" s="16" customFormat="1" x14ac:dyDescent="0.35"/>
    <row r="148" s="16" customFormat="1" x14ac:dyDescent="0.35"/>
    <row r="149" s="16" customFormat="1" x14ac:dyDescent="0.35"/>
    <row r="150" s="16" customFormat="1" x14ac:dyDescent="0.35"/>
    <row r="151" s="16" customFormat="1" x14ac:dyDescent="0.35"/>
    <row r="152" s="16" customFormat="1" x14ac:dyDescent="0.35"/>
    <row r="153" s="16" customFormat="1" x14ac:dyDescent="0.35"/>
    <row r="154" s="16" customFormat="1" x14ac:dyDescent="0.35"/>
    <row r="155" s="16" customFormat="1" x14ac:dyDescent="0.35"/>
    <row r="156" s="16" customFormat="1" x14ac:dyDescent="0.35"/>
    <row r="157" s="16" customFormat="1" x14ac:dyDescent="0.35"/>
    <row r="158" s="16" customFormat="1" x14ac:dyDescent="0.35"/>
    <row r="159" s="16" customFormat="1" x14ac:dyDescent="0.35"/>
    <row r="160" s="16" customFormat="1" x14ac:dyDescent="0.35"/>
    <row r="161" s="16" customFormat="1" x14ac:dyDescent="0.35"/>
    <row r="162" s="16" customFormat="1" x14ac:dyDescent="0.35"/>
    <row r="163" s="16" customFormat="1" x14ac:dyDescent="0.35"/>
    <row r="164" s="16" customFormat="1" x14ac:dyDescent="0.35"/>
    <row r="165" s="16" customFormat="1" x14ac:dyDescent="0.35"/>
    <row r="166" s="16" customFormat="1" x14ac:dyDescent="0.35"/>
    <row r="167" s="16" customFormat="1" x14ac:dyDescent="0.35"/>
  </sheetData>
  <sheetProtection sheet="1" objects="1" scenarios="1" formatCells="0" formatColumns="0" formatRows="0" sort="0" autoFilter="0"/>
  <autoFilter ref="A1:L167" xr:uid="{A6AE1AF7-143D-48B4-8F86-8F21DBA33507}"/>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BA95F-71AA-4C4A-B6AA-848360764F6F}">
  <sheetPr codeName="Sheet9">
    <tabColor theme="9" tint="0.39997558519241921"/>
  </sheetPr>
  <dimension ref="A1:L166"/>
  <sheetViews>
    <sheetView workbookViewId="0"/>
  </sheetViews>
  <sheetFormatPr defaultRowHeight="14.5" x14ac:dyDescent="0.35"/>
  <cols>
    <col min="1" max="1" width="23.26953125" style="84" customWidth="1"/>
    <col min="2" max="2" width="19.81640625" style="16" customWidth="1"/>
    <col min="3" max="12" width="21.7265625" style="16" customWidth="1"/>
    <col min="13" max="13" width="7.54296875" style="16" customWidth="1"/>
    <col min="14" max="16384" width="8.7265625" style="16"/>
  </cols>
  <sheetData>
    <row r="1" spans="1:12" x14ac:dyDescent="0.35">
      <c r="A1" s="198" t="s">
        <v>319</v>
      </c>
      <c r="B1" s="199"/>
    </row>
    <row r="2" spans="1:12" ht="29" x14ac:dyDescent="0.35">
      <c r="A2" s="137" t="s">
        <v>320</v>
      </c>
      <c r="B2" s="144">
        <v>12</v>
      </c>
    </row>
    <row r="4" spans="1:12" ht="15" customHeight="1" x14ac:dyDescent="0.35">
      <c r="A4" s="198" t="s">
        <v>321</v>
      </c>
      <c r="B4" s="199"/>
    </row>
    <row r="5" spans="1:12" x14ac:dyDescent="0.35">
      <c r="A5" s="39" t="s">
        <v>322</v>
      </c>
      <c r="B5" s="200">
        <v>100000</v>
      </c>
    </row>
    <row r="6" spans="1:12" x14ac:dyDescent="0.35">
      <c r="A6" s="39" t="s">
        <v>323</v>
      </c>
      <c r="B6" s="56" t="s">
        <v>324</v>
      </c>
    </row>
    <row r="8" spans="1:12" x14ac:dyDescent="0.35">
      <c r="A8" s="16"/>
      <c r="B8" s="201" t="s">
        <v>325</v>
      </c>
      <c r="C8" s="201"/>
      <c r="D8" s="109"/>
      <c r="E8" s="109"/>
    </row>
    <row r="9" spans="1:12" ht="44.5" x14ac:dyDescent="0.45">
      <c r="A9" s="202" t="s">
        <v>326</v>
      </c>
      <c r="B9" s="203" t="s">
        <v>46</v>
      </c>
      <c r="C9" s="203" t="s">
        <v>327</v>
      </c>
      <c r="E9" s="202" t="s">
        <v>328</v>
      </c>
      <c r="F9" s="204" t="s">
        <v>329</v>
      </c>
      <c r="H9" s="202" t="s">
        <v>330</v>
      </c>
      <c r="I9" s="204" t="s">
        <v>331</v>
      </c>
      <c r="K9" s="202"/>
      <c r="L9" s="205"/>
    </row>
    <row r="10" spans="1:12" x14ac:dyDescent="0.35">
      <c r="A10" s="206" t="s">
        <v>144</v>
      </c>
      <c r="B10" s="207">
        <v>5.3978369169744083</v>
      </c>
      <c r="C10" s="207">
        <v>1.4451553625165876</v>
      </c>
      <c r="E10" s="206" t="s">
        <v>144</v>
      </c>
      <c r="F10" s="208">
        <v>11.675305910502731</v>
      </c>
      <c r="H10" s="206" t="s">
        <v>144</v>
      </c>
      <c r="I10" s="208">
        <v>3.8917686368342435</v>
      </c>
      <c r="K10" s="209"/>
      <c r="L10" s="210"/>
    </row>
    <row r="11" spans="1:12" x14ac:dyDescent="0.35">
      <c r="A11" s="206" t="s">
        <v>332</v>
      </c>
      <c r="B11" s="207">
        <v>3.8526499901419298</v>
      </c>
      <c r="C11" s="207">
        <v>1.4311162334386542</v>
      </c>
      <c r="E11" s="206" t="s">
        <v>332</v>
      </c>
      <c r="F11" s="208">
        <v>11.534914619723398</v>
      </c>
      <c r="H11" s="206" t="s">
        <v>332</v>
      </c>
      <c r="I11" s="208">
        <v>3.8449715399077995</v>
      </c>
      <c r="K11" s="209"/>
      <c r="L11" s="210"/>
    </row>
    <row r="12" spans="1:12" x14ac:dyDescent="0.35">
      <c r="A12" s="206" t="s">
        <v>34</v>
      </c>
      <c r="B12" s="207">
        <v>3.0791519640193474</v>
      </c>
      <c r="C12" s="207">
        <v>1.3746998277239868</v>
      </c>
      <c r="E12" s="206" t="s">
        <v>34</v>
      </c>
      <c r="F12" s="208">
        <v>10.970750562576722</v>
      </c>
      <c r="H12" s="206" t="s">
        <v>34</v>
      </c>
      <c r="I12" s="208">
        <v>3.6569168541922408</v>
      </c>
      <c r="K12" s="209"/>
      <c r="L12" s="210"/>
    </row>
    <row r="13" spans="1:12" x14ac:dyDescent="0.35">
      <c r="A13" s="206" t="s">
        <v>33</v>
      </c>
      <c r="B13" s="207">
        <v>1.9368279367445078</v>
      </c>
      <c r="C13" s="207">
        <v>0.91170206479032845</v>
      </c>
      <c r="E13" s="206" t="s">
        <v>33</v>
      </c>
      <c r="F13" s="208">
        <v>7.0130928060794497</v>
      </c>
      <c r="H13" s="206" t="s">
        <v>33</v>
      </c>
      <c r="I13" s="208">
        <v>2.3376976020264832</v>
      </c>
      <c r="K13" s="209"/>
      <c r="L13" s="210"/>
    </row>
    <row r="14" spans="1:12" x14ac:dyDescent="0.35">
      <c r="A14" s="206" t="s">
        <v>333</v>
      </c>
      <c r="B14" s="207">
        <v>1.3992012611586493</v>
      </c>
      <c r="C14" s="207">
        <v>0.39288585782629459</v>
      </c>
      <c r="E14" s="206" t="s">
        <v>333</v>
      </c>
      <c r="F14" s="208">
        <v>3.0221989063561123</v>
      </c>
      <c r="H14" s="206" t="s">
        <v>333</v>
      </c>
      <c r="I14" s="208">
        <v>1.0073996354520374</v>
      </c>
      <c r="K14" s="209"/>
      <c r="L14" s="210"/>
    </row>
    <row r="15" spans="1:12" x14ac:dyDescent="0.35">
      <c r="A15" s="206" t="s">
        <v>334</v>
      </c>
      <c r="B15" s="207">
        <v>0.96437226728196401</v>
      </c>
      <c r="C15" s="207">
        <v>0.30357529770065822</v>
      </c>
      <c r="E15" s="206" t="s">
        <v>334</v>
      </c>
      <c r="F15" s="208">
        <v>2.3351945976973707</v>
      </c>
      <c r="H15" s="206" t="s">
        <v>334</v>
      </c>
      <c r="I15" s="211">
        <v>0.7783981992324569</v>
      </c>
      <c r="K15" s="209"/>
      <c r="L15" s="210"/>
    </row>
    <row r="16" spans="1:12" x14ac:dyDescent="0.35">
      <c r="A16" s="206" t="s">
        <v>335</v>
      </c>
      <c r="B16" s="207">
        <v>2.0306795729833786</v>
      </c>
      <c r="C16" s="207">
        <v>0.90551737401211208</v>
      </c>
      <c r="E16" s="206" t="s">
        <v>335</v>
      </c>
      <c r="F16" s="208">
        <v>7.00222849103843</v>
      </c>
      <c r="H16" s="206" t="s">
        <v>335</v>
      </c>
      <c r="I16" s="208">
        <v>2.3340761636794998</v>
      </c>
      <c r="K16" s="209"/>
      <c r="L16" s="210"/>
    </row>
    <row r="17" spans="1:9" x14ac:dyDescent="0.35">
      <c r="A17" s="212"/>
      <c r="B17" s="212"/>
      <c r="C17" s="212"/>
    </row>
    <row r="18" spans="1:9" ht="59" x14ac:dyDescent="0.45">
      <c r="A18" s="213" t="s">
        <v>336</v>
      </c>
      <c r="B18" s="137"/>
      <c r="C18" s="137"/>
      <c r="E18" s="202" t="s">
        <v>29</v>
      </c>
      <c r="F18" s="214" t="s">
        <v>98</v>
      </c>
      <c r="H18" s="202" t="s">
        <v>337</v>
      </c>
      <c r="I18" s="204" t="s">
        <v>338</v>
      </c>
    </row>
    <row r="19" spans="1:9" x14ac:dyDescent="0.35">
      <c r="A19" s="206" t="s">
        <v>144</v>
      </c>
      <c r="B19" s="207">
        <v>1.7992789723248028</v>
      </c>
      <c r="C19" s="207">
        <v>0.48171845417219583</v>
      </c>
      <c r="E19" s="215" t="s">
        <v>144</v>
      </c>
      <c r="F19" s="146">
        <v>1</v>
      </c>
      <c r="H19" s="206" t="s">
        <v>144</v>
      </c>
      <c r="I19" s="208">
        <v>4.4635358681999433</v>
      </c>
    </row>
    <row r="20" spans="1:9" x14ac:dyDescent="0.35">
      <c r="A20" s="206" t="s">
        <v>332</v>
      </c>
      <c r="B20" s="207">
        <v>1.2842166633806433</v>
      </c>
      <c r="C20" s="207">
        <v>0.47703874447955141</v>
      </c>
      <c r="E20" s="54" t="s">
        <v>332</v>
      </c>
      <c r="F20" s="146">
        <v>1</v>
      </c>
      <c r="H20" s="206" t="s">
        <v>332</v>
      </c>
      <c r="I20" s="208">
        <v>4.209189085146785</v>
      </c>
    </row>
    <row r="21" spans="1:9" x14ac:dyDescent="0.35">
      <c r="A21" s="206" t="s">
        <v>34</v>
      </c>
      <c r="B21" s="207">
        <v>1.0263839880064491</v>
      </c>
      <c r="C21" s="207">
        <v>0.45823327590799556</v>
      </c>
      <c r="E21" s="215" t="s">
        <v>34</v>
      </c>
      <c r="F21" s="146">
        <v>1</v>
      </c>
      <c r="H21" s="206" t="s">
        <v>34</v>
      </c>
      <c r="I21" s="208">
        <v>3.4488708721972801</v>
      </c>
    </row>
    <row r="22" spans="1:9" x14ac:dyDescent="0.35">
      <c r="A22" s="206" t="s">
        <v>33</v>
      </c>
      <c r="B22" s="207">
        <v>0.64560931224816931</v>
      </c>
      <c r="C22" s="207">
        <v>0.3039006882634428</v>
      </c>
      <c r="E22" s="215" t="s">
        <v>33</v>
      </c>
      <c r="F22" s="146">
        <v>1</v>
      </c>
      <c r="H22" s="206" t="s">
        <v>33</v>
      </c>
      <c r="I22" s="208">
        <v>1.4862507168565671</v>
      </c>
    </row>
    <row r="23" spans="1:9" x14ac:dyDescent="0.35">
      <c r="A23" s="206" t="s">
        <v>333</v>
      </c>
      <c r="B23" s="207">
        <v>0.46640042038621643</v>
      </c>
      <c r="C23" s="207">
        <v>0.13096195260876486</v>
      </c>
      <c r="E23" s="54" t="s">
        <v>333</v>
      </c>
      <c r="F23" s="146">
        <v>1</v>
      </c>
      <c r="H23" s="206" t="s">
        <v>333</v>
      </c>
      <c r="I23" s="208">
        <v>0.95006014568177777</v>
      </c>
    </row>
    <row r="24" spans="1:9" x14ac:dyDescent="0.35">
      <c r="A24" s="206" t="s">
        <v>334</v>
      </c>
      <c r="B24" s="207">
        <v>0.32145742242732134</v>
      </c>
      <c r="C24" s="207">
        <v>0.1011917659002194</v>
      </c>
      <c r="E24" s="215" t="s">
        <v>334</v>
      </c>
      <c r="F24" s="144">
        <v>1</v>
      </c>
      <c r="H24" s="206" t="s">
        <v>334</v>
      </c>
      <c r="I24" s="208">
        <v>0.89275817918163081</v>
      </c>
    </row>
    <row r="25" spans="1:9" x14ac:dyDescent="0.35">
      <c r="A25" s="206" t="s">
        <v>335</v>
      </c>
      <c r="B25" s="207">
        <v>0.67689319099446521</v>
      </c>
      <c r="C25" s="207">
        <v>0.30183912467070295</v>
      </c>
      <c r="E25" s="215" t="s">
        <v>335</v>
      </c>
      <c r="F25" s="144">
        <v>1</v>
      </c>
      <c r="H25" s="206" t="s">
        <v>335</v>
      </c>
      <c r="I25" s="208">
        <v>1.6962715773169077</v>
      </c>
    </row>
    <row r="28" spans="1:9" ht="15" thickBot="1" x14ac:dyDescent="0.4">
      <c r="A28" s="216"/>
      <c r="B28" s="217" t="s">
        <v>339</v>
      </c>
      <c r="C28" s="218"/>
      <c r="D28" s="218"/>
      <c r="E28" s="218"/>
      <c r="F28" s="218"/>
    </row>
    <row r="29" spans="1:9" ht="114" customHeight="1" x14ac:dyDescent="0.35">
      <c r="A29" s="157" t="s">
        <v>72</v>
      </c>
      <c r="B29" s="219" t="s">
        <v>35</v>
      </c>
      <c r="C29" s="220" t="s">
        <v>37</v>
      </c>
      <c r="D29" s="220" t="s">
        <v>39</v>
      </c>
      <c r="E29" s="219" t="s">
        <v>40</v>
      </c>
      <c r="F29" s="220" t="s">
        <v>42</v>
      </c>
      <c r="G29" s="220" t="s">
        <v>43</v>
      </c>
    </row>
    <row r="30" spans="1:9" ht="65.25" customHeight="1" thickBot="1" x14ac:dyDescent="0.4">
      <c r="A30" s="157" t="s">
        <v>73</v>
      </c>
      <c r="B30" s="221" t="s">
        <v>36</v>
      </c>
      <c r="C30" s="222" t="s">
        <v>38</v>
      </c>
      <c r="D30" s="222" t="s">
        <v>36</v>
      </c>
      <c r="E30" s="223" t="s">
        <v>41</v>
      </c>
      <c r="F30" s="222" t="s">
        <v>36</v>
      </c>
      <c r="G30" s="222" t="s">
        <v>44</v>
      </c>
    </row>
    <row r="31" spans="1:9" ht="56.25" customHeight="1" x14ac:dyDescent="0.35">
      <c r="A31" s="157" t="s">
        <v>340</v>
      </c>
      <c r="B31" s="137" t="s">
        <v>341</v>
      </c>
      <c r="C31" s="137" t="s">
        <v>341</v>
      </c>
      <c r="D31" s="137" t="s">
        <v>341</v>
      </c>
      <c r="E31" s="137" t="s">
        <v>341</v>
      </c>
      <c r="F31" s="137" t="s">
        <v>341</v>
      </c>
      <c r="G31" s="137" t="s">
        <v>341</v>
      </c>
    </row>
    <row r="32" spans="1:9" x14ac:dyDescent="0.35">
      <c r="A32" s="224"/>
      <c r="B32" s="225"/>
      <c r="C32" s="225"/>
      <c r="D32" s="225"/>
      <c r="E32" s="225"/>
      <c r="F32" s="225"/>
      <c r="G32" s="225"/>
    </row>
    <row r="33" spans="1:8" ht="16.5" x14ac:dyDescent="0.45">
      <c r="A33" s="202" t="s">
        <v>342</v>
      </c>
      <c r="B33" s="214" t="s">
        <v>343</v>
      </c>
      <c r="C33" s="214" t="s">
        <v>344</v>
      </c>
      <c r="D33" s="214" t="s">
        <v>345</v>
      </c>
      <c r="E33" s="214" t="s">
        <v>346</v>
      </c>
      <c r="F33" s="214" t="s">
        <v>347</v>
      </c>
      <c r="G33" s="214" t="s">
        <v>348</v>
      </c>
    </row>
    <row r="34" spans="1:8" x14ac:dyDescent="0.35">
      <c r="A34" s="54" t="s">
        <v>144</v>
      </c>
      <c r="B34" s="207">
        <v>4.7162522683043742</v>
      </c>
      <c r="C34" s="207">
        <v>0.31269351492494796</v>
      </c>
      <c r="D34" s="207">
        <v>1.5303582174465682</v>
      </c>
      <c r="E34" s="207">
        <v>0.2335061182100546</v>
      </c>
      <c r="F34" s="207">
        <v>1.162022763132037</v>
      </c>
      <c r="G34" s="207">
        <v>0.93402447284021839</v>
      </c>
      <c r="H34" s="210"/>
    </row>
    <row r="35" spans="1:8" x14ac:dyDescent="0.35">
      <c r="A35" s="54" t="s">
        <v>332</v>
      </c>
      <c r="B35" s="207">
        <v>3.2952263559328849</v>
      </c>
      <c r="C35" s="207">
        <v>0.30823560688725232</v>
      </c>
      <c r="D35" s="207">
        <v>0.79297759920351241</v>
      </c>
      <c r="E35" s="207">
        <v>0.23069829239446799</v>
      </c>
      <c r="F35" s="207">
        <v>1.0021010814302074</v>
      </c>
      <c r="G35" s="207">
        <v>0.92279316957787194</v>
      </c>
    </row>
    <row r="36" spans="1:8" x14ac:dyDescent="0.35">
      <c r="A36" s="54" t="s">
        <v>34</v>
      </c>
      <c r="B36" s="207">
        <v>2.4694675933348829</v>
      </c>
      <c r="C36" s="207">
        <v>0.29159700666032673</v>
      </c>
      <c r="D36" s="207">
        <v>0.63526657165753975</v>
      </c>
      <c r="E36" s="207">
        <v>0.21941501125153445</v>
      </c>
      <c r="F36" s="207">
        <v>0.8246521025659258</v>
      </c>
      <c r="G36" s="207">
        <v>0.87766004500613781</v>
      </c>
    </row>
    <row r="37" spans="1:8" x14ac:dyDescent="0.35">
      <c r="A37" s="54" t="s">
        <v>33</v>
      </c>
      <c r="B37" s="207">
        <v>1.0528899341778619</v>
      </c>
      <c r="C37" s="207">
        <v>0.21039278418238347</v>
      </c>
      <c r="D37" s="207">
        <v>0.37193818763076503</v>
      </c>
      <c r="E37" s="207">
        <v>0.14026185612158898</v>
      </c>
      <c r="F37" s="207">
        <v>0.38787756059309419</v>
      </c>
      <c r="G37" s="207">
        <v>0.56104742448635592</v>
      </c>
    </row>
    <row r="38" spans="1:8" x14ac:dyDescent="0.35">
      <c r="A38" s="54" t="s">
        <v>333</v>
      </c>
      <c r="B38" s="207">
        <v>0.62460755125401413</v>
      </c>
      <c r="C38" s="207">
        <v>9.0665967190683358E-2</v>
      </c>
      <c r="D38" s="207">
        <v>0.21775873896679743</v>
      </c>
      <c r="E38" s="207">
        <v>6.0443978127122239E-2</v>
      </c>
      <c r="F38" s="207">
        <v>0.13412184589523479</v>
      </c>
      <c r="G38" s="207">
        <v>0.24177591250848895</v>
      </c>
    </row>
    <row r="39" spans="1:8" x14ac:dyDescent="0.35">
      <c r="A39" s="54" t="s">
        <v>334</v>
      </c>
      <c r="B39" s="207">
        <v>0.48531676293677495</v>
      </c>
      <c r="C39" s="207">
        <v>7.0055837930921114E-2</v>
      </c>
      <c r="D39" s="207">
        <v>9.1830996737975845E-2</v>
      </c>
      <c r="E39" s="207">
        <v>4.6703891953947418E-2</v>
      </c>
      <c r="F39" s="207">
        <v>4.7850456903437158E-2</v>
      </c>
      <c r="G39" s="207">
        <v>0.18681556781578967</v>
      </c>
      <c r="H39" s="210"/>
    </row>
    <row r="40" spans="1:8" x14ac:dyDescent="0.35">
      <c r="A40" s="54" t="s">
        <v>335</v>
      </c>
      <c r="B40" s="207">
        <v>1.2182772476927577</v>
      </c>
      <c r="C40" s="207">
        <v>0.20529452490826774</v>
      </c>
      <c r="D40" s="207">
        <v>0.39216754900479656</v>
      </c>
      <c r="E40" s="207">
        <v>0.14004456982076782</v>
      </c>
      <c r="F40" s="207">
        <v>0.42011048945605844</v>
      </c>
      <c r="G40" s="207">
        <v>0.56017827928307129</v>
      </c>
    </row>
    <row r="41" spans="1:8" x14ac:dyDescent="0.35">
      <c r="A41" s="212"/>
      <c r="B41" s="225"/>
      <c r="C41" s="225"/>
      <c r="D41" s="225"/>
      <c r="E41" s="225"/>
      <c r="F41" s="225"/>
      <c r="G41" s="225"/>
    </row>
    <row r="42" spans="1:8" ht="16.5" x14ac:dyDescent="0.45">
      <c r="A42" s="202" t="s">
        <v>349</v>
      </c>
      <c r="B42" s="214" t="s">
        <v>350</v>
      </c>
      <c r="C42" s="214" t="s">
        <v>351</v>
      </c>
      <c r="D42" s="214" t="s">
        <v>352</v>
      </c>
      <c r="E42" s="214" t="s">
        <v>353</v>
      </c>
      <c r="F42" s="214" t="s">
        <v>354</v>
      </c>
      <c r="G42" s="214" t="s">
        <v>355</v>
      </c>
    </row>
    <row r="43" spans="1:8" x14ac:dyDescent="0.35">
      <c r="A43" s="54" t="s">
        <v>144</v>
      </c>
      <c r="B43" s="207">
        <v>1.5720840894347914</v>
      </c>
      <c r="C43" s="207">
        <v>0.10423117164164931</v>
      </c>
      <c r="D43" s="207">
        <v>0.51011940581552273</v>
      </c>
      <c r="E43" s="207">
        <v>7.7835372736684866E-2</v>
      </c>
      <c r="F43" s="207">
        <v>0.38734092104401235</v>
      </c>
      <c r="G43" s="207">
        <v>0.31134149094673946</v>
      </c>
    </row>
    <row r="44" spans="1:8" x14ac:dyDescent="0.35">
      <c r="A44" s="54" t="s">
        <v>332</v>
      </c>
      <c r="B44" s="207">
        <v>1.0984087853109616</v>
      </c>
      <c r="C44" s="207">
        <v>0.10274520229575078</v>
      </c>
      <c r="D44" s="207">
        <v>0.26432586640117078</v>
      </c>
      <c r="E44" s="207">
        <v>7.689943079815599E-2</v>
      </c>
      <c r="F44" s="207">
        <v>0.33403369381006914</v>
      </c>
      <c r="G44" s="207">
        <v>0.30759772319262396</v>
      </c>
    </row>
    <row r="45" spans="1:8" x14ac:dyDescent="0.35">
      <c r="A45" s="54" t="s">
        <v>34</v>
      </c>
      <c r="B45" s="207">
        <v>0.82315586444496092</v>
      </c>
      <c r="C45" s="207">
        <v>9.719900222010891E-2</v>
      </c>
      <c r="D45" s="207">
        <v>0.21175552388584659</v>
      </c>
      <c r="E45" s="207">
        <v>7.3138337083844818E-2</v>
      </c>
      <c r="F45" s="207">
        <v>0.27488403418864193</v>
      </c>
      <c r="G45" s="207">
        <v>0.29255334833537927</v>
      </c>
    </row>
    <row r="46" spans="1:8" x14ac:dyDescent="0.35">
      <c r="A46" s="54" t="s">
        <v>33</v>
      </c>
      <c r="B46" s="207">
        <v>0.35096331139262066</v>
      </c>
      <c r="C46" s="207">
        <v>7.013092806079449E-2</v>
      </c>
      <c r="D46" s="207">
        <v>0.12397939587692168</v>
      </c>
      <c r="E46" s="207">
        <v>4.6753952040529664E-2</v>
      </c>
      <c r="F46" s="207">
        <v>0.12929252019769807</v>
      </c>
      <c r="G46" s="207">
        <v>0.18701580816211866</v>
      </c>
    </row>
    <row r="47" spans="1:8" x14ac:dyDescent="0.35">
      <c r="A47" s="54" t="s">
        <v>333</v>
      </c>
      <c r="B47" s="207">
        <v>0.20820251708467136</v>
      </c>
      <c r="C47" s="207">
        <v>3.0221989063561119E-2</v>
      </c>
      <c r="D47" s="207">
        <v>7.2586246322265804E-2</v>
      </c>
      <c r="E47" s="207">
        <v>2.0147992709040746E-2</v>
      </c>
      <c r="F47" s="207">
        <v>4.4707281965078262E-2</v>
      </c>
      <c r="G47" s="207">
        <v>8.0591970836162985E-2</v>
      </c>
    </row>
    <row r="48" spans="1:8" x14ac:dyDescent="0.35">
      <c r="A48" s="54" t="s">
        <v>334</v>
      </c>
      <c r="B48" s="207">
        <v>0.16177225431225831</v>
      </c>
      <c r="C48" s="207">
        <v>2.3351945976973706E-2</v>
      </c>
      <c r="D48" s="207">
        <v>3.061033224599195E-2</v>
      </c>
      <c r="E48" s="207">
        <v>1.5567963984649139E-2</v>
      </c>
      <c r="F48" s="207">
        <v>1.5950152301145718E-2</v>
      </c>
      <c r="G48" s="207">
        <v>6.2271855938596556E-2</v>
      </c>
    </row>
    <row r="49" spans="1:7" x14ac:dyDescent="0.35">
      <c r="A49" s="54" t="s">
        <v>335</v>
      </c>
      <c r="B49" s="207">
        <v>0.40609241589758194</v>
      </c>
      <c r="C49" s="207">
        <v>6.8431508302753075E-2</v>
      </c>
      <c r="D49" s="207">
        <v>0.13072251633493204</v>
      </c>
      <c r="E49" s="207">
        <v>4.6681523273589882E-2</v>
      </c>
      <c r="F49" s="207">
        <v>0.14003682981868612</v>
      </c>
      <c r="G49" s="207">
        <v>0.18672609309435953</v>
      </c>
    </row>
    <row r="50" spans="1:7" x14ac:dyDescent="0.35">
      <c r="A50" s="212"/>
      <c r="B50" s="225"/>
      <c r="C50" s="225"/>
      <c r="D50" s="225"/>
      <c r="E50" s="225"/>
      <c r="F50" s="225"/>
      <c r="G50" s="225"/>
    </row>
    <row r="51" spans="1:7" x14ac:dyDescent="0.35">
      <c r="A51" s="202"/>
    </row>
    <row r="53" spans="1:7" ht="15" customHeight="1" x14ac:dyDescent="0.35"/>
    <row r="54" spans="1:7" ht="20.25" customHeight="1" x14ac:dyDescent="0.35"/>
    <row r="59" spans="1:7" ht="29.25" customHeight="1" x14ac:dyDescent="0.35"/>
    <row r="60" spans="1:7" x14ac:dyDescent="0.35">
      <c r="A60" s="16"/>
    </row>
    <row r="61" spans="1:7" x14ac:dyDescent="0.35">
      <c r="A61" s="16"/>
    </row>
    <row r="62" spans="1:7" x14ac:dyDescent="0.35">
      <c r="A62" s="16"/>
    </row>
    <row r="63" spans="1:7" x14ac:dyDescent="0.35">
      <c r="A63" s="16"/>
    </row>
    <row r="64" spans="1:7" x14ac:dyDescent="0.35">
      <c r="A64" s="16"/>
    </row>
    <row r="65" s="16" customFormat="1" x14ac:dyDescent="0.35"/>
    <row r="66" s="16" customFormat="1" x14ac:dyDescent="0.35"/>
    <row r="67" s="16" customFormat="1" x14ac:dyDescent="0.35"/>
    <row r="68" s="16" customFormat="1" x14ac:dyDescent="0.35"/>
    <row r="69" s="16" customFormat="1" x14ac:dyDescent="0.35"/>
    <row r="70" s="16" customFormat="1" x14ac:dyDescent="0.35"/>
    <row r="71" s="16" customFormat="1" x14ac:dyDescent="0.35"/>
    <row r="72" s="16" customFormat="1" x14ac:dyDescent="0.35"/>
    <row r="73" s="16" customFormat="1" x14ac:dyDescent="0.35"/>
    <row r="74" s="16" customFormat="1" x14ac:dyDescent="0.35"/>
    <row r="75" s="16" customFormat="1" x14ac:dyDescent="0.35"/>
    <row r="76" s="16" customFormat="1" x14ac:dyDescent="0.35"/>
    <row r="77" s="16" customFormat="1" x14ac:dyDescent="0.35"/>
    <row r="78" s="16" customFormat="1" x14ac:dyDescent="0.35"/>
    <row r="79" s="16" customFormat="1" x14ac:dyDescent="0.35"/>
    <row r="80" s="16" customFormat="1" x14ac:dyDescent="0.35"/>
    <row r="81" s="16" customFormat="1" x14ac:dyDescent="0.35"/>
    <row r="82" s="16" customFormat="1" x14ac:dyDescent="0.35"/>
    <row r="83" s="16" customFormat="1" x14ac:dyDescent="0.35"/>
    <row r="84" s="16" customFormat="1" x14ac:dyDescent="0.35"/>
    <row r="85" s="16" customFormat="1" x14ac:dyDescent="0.35"/>
    <row r="86" s="16" customFormat="1" x14ac:dyDescent="0.35"/>
    <row r="87" s="16" customFormat="1" x14ac:dyDescent="0.35"/>
    <row r="88" s="16" customFormat="1" x14ac:dyDescent="0.35"/>
    <row r="89" s="16" customFormat="1" x14ac:dyDescent="0.35"/>
    <row r="90" s="16" customFormat="1" x14ac:dyDescent="0.35"/>
    <row r="91" s="16" customFormat="1" x14ac:dyDescent="0.35"/>
    <row r="92" s="16" customFormat="1" x14ac:dyDescent="0.35"/>
    <row r="93" s="16" customFormat="1" x14ac:dyDescent="0.35"/>
    <row r="94" s="16" customFormat="1" x14ac:dyDescent="0.35"/>
    <row r="95" s="16" customFormat="1" x14ac:dyDescent="0.35"/>
    <row r="96" s="16" customFormat="1" x14ac:dyDescent="0.35"/>
    <row r="97" s="16" customFormat="1" x14ac:dyDescent="0.35"/>
    <row r="98" s="16" customFormat="1" x14ac:dyDescent="0.35"/>
    <row r="99" s="16" customFormat="1" x14ac:dyDescent="0.35"/>
    <row r="100" s="16" customFormat="1" x14ac:dyDescent="0.35"/>
    <row r="101" s="16" customFormat="1" x14ac:dyDescent="0.35"/>
    <row r="102" s="16" customFormat="1" x14ac:dyDescent="0.35"/>
    <row r="103" s="16" customFormat="1" x14ac:dyDescent="0.35"/>
    <row r="104" s="16" customFormat="1" x14ac:dyDescent="0.35"/>
    <row r="105" s="16" customFormat="1" x14ac:dyDescent="0.35"/>
    <row r="106" s="16" customFormat="1" x14ac:dyDescent="0.35"/>
    <row r="107" s="16" customFormat="1" x14ac:dyDescent="0.35"/>
    <row r="108" s="16" customFormat="1" x14ac:dyDescent="0.35"/>
    <row r="109" s="16" customFormat="1" x14ac:dyDescent="0.35"/>
    <row r="110" s="16" customFormat="1" x14ac:dyDescent="0.35"/>
    <row r="111" s="16" customFormat="1" x14ac:dyDescent="0.35"/>
    <row r="112" s="16" customFormat="1" x14ac:dyDescent="0.35"/>
    <row r="113" s="16" customFormat="1" x14ac:dyDescent="0.35"/>
    <row r="114" s="16" customFormat="1" x14ac:dyDescent="0.35"/>
    <row r="115" s="16" customFormat="1" x14ac:dyDescent="0.35"/>
    <row r="116" s="16" customFormat="1" x14ac:dyDescent="0.35"/>
    <row r="117" s="16" customFormat="1" x14ac:dyDescent="0.35"/>
    <row r="118" s="16" customFormat="1" x14ac:dyDescent="0.35"/>
    <row r="119" s="16" customFormat="1" x14ac:dyDescent="0.35"/>
    <row r="120" s="16" customFormat="1" x14ac:dyDescent="0.35"/>
    <row r="121" s="16" customFormat="1" x14ac:dyDescent="0.35"/>
    <row r="122" s="16" customFormat="1" x14ac:dyDescent="0.35"/>
    <row r="123" s="16" customFormat="1" x14ac:dyDescent="0.35"/>
    <row r="124" s="16" customFormat="1" x14ac:dyDescent="0.35"/>
    <row r="125" s="16" customFormat="1" x14ac:dyDescent="0.35"/>
    <row r="126" s="16" customFormat="1" x14ac:dyDescent="0.35"/>
    <row r="127" s="16" customFormat="1" x14ac:dyDescent="0.35"/>
    <row r="128" s="16" customFormat="1" x14ac:dyDescent="0.35"/>
    <row r="129" s="16" customFormat="1" x14ac:dyDescent="0.35"/>
    <row r="130" s="16" customFormat="1" x14ac:dyDescent="0.35"/>
    <row r="131" s="16" customFormat="1" x14ac:dyDescent="0.35"/>
    <row r="132" s="16" customFormat="1" x14ac:dyDescent="0.35"/>
    <row r="133" s="16" customFormat="1" x14ac:dyDescent="0.35"/>
    <row r="134" s="16" customFormat="1" x14ac:dyDescent="0.35"/>
    <row r="135" s="16" customFormat="1" x14ac:dyDescent="0.35"/>
    <row r="136" s="16" customFormat="1" x14ac:dyDescent="0.35"/>
    <row r="137" s="16" customFormat="1" x14ac:dyDescent="0.35"/>
    <row r="138" s="16" customFormat="1" x14ac:dyDescent="0.35"/>
    <row r="139" s="16" customFormat="1" x14ac:dyDescent="0.35"/>
    <row r="140" s="16" customFormat="1" x14ac:dyDescent="0.35"/>
    <row r="141" s="16" customFormat="1" x14ac:dyDescent="0.35"/>
    <row r="142" s="16" customFormat="1" x14ac:dyDescent="0.35"/>
    <row r="143" s="16" customFormat="1" x14ac:dyDescent="0.35"/>
    <row r="144" s="16" customFormat="1" x14ac:dyDescent="0.35"/>
    <row r="145" s="16" customFormat="1" x14ac:dyDescent="0.35"/>
    <row r="146" s="16" customFormat="1" x14ac:dyDescent="0.35"/>
    <row r="147" s="16" customFormat="1" x14ac:dyDescent="0.35"/>
    <row r="148" s="16" customFormat="1" x14ac:dyDescent="0.35"/>
    <row r="149" s="16" customFormat="1" x14ac:dyDescent="0.35"/>
    <row r="150" s="16" customFormat="1" x14ac:dyDescent="0.35"/>
    <row r="151" s="16" customFormat="1" x14ac:dyDescent="0.35"/>
    <row r="152" s="16" customFormat="1" x14ac:dyDescent="0.35"/>
    <row r="153" s="16" customFormat="1" x14ac:dyDescent="0.35"/>
    <row r="154" s="16" customFormat="1" x14ac:dyDescent="0.35"/>
    <row r="155" s="16" customFormat="1" x14ac:dyDescent="0.35"/>
    <row r="156" s="16" customFormat="1" x14ac:dyDescent="0.35"/>
    <row r="157" s="16" customFormat="1" x14ac:dyDescent="0.35"/>
    <row r="158" s="16" customFormat="1" x14ac:dyDescent="0.35"/>
    <row r="159" s="16" customFormat="1" x14ac:dyDescent="0.35"/>
    <row r="160" s="16" customFormat="1" x14ac:dyDescent="0.35"/>
    <row r="161" s="16" customFormat="1" x14ac:dyDescent="0.35"/>
    <row r="162" s="16" customFormat="1" x14ac:dyDescent="0.35"/>
    <row r="163" s="16" customFormat="1" x14ac:dyDescent="0.35"/>
    <row r="164" s="16" customFormat="1" x14ac:dyDescent="0.35"/>
    <row r="165" s="16" customFormat="1" x14ac:dyDescent="0.35"/>
    <row r="166" s="16" customFormat="1" x14ac:dyDescent="0.35"/>
  </sheetData>
  <sheetProtection sheet="1" objects="1" scenarios="1" formatCells="0" formatColumns="0" formatRows="0" sort="0" autoFilter="0"/>
  <autoFilter ref="A1:L166" xr:uid="{048BA95F-71AA-4C4A-B6AA-848360764F6F}"/>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2023-07-13T20:12:55+00:00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blowing agent</TermName>
          <TermId xmlns="http://schemas.microsoft.com/office/infopath/2007/PartnerControls">4f55f0c8-0b27-4711-8123-e7ce4a902e66</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spray foam</TermName>
          <TermId xmlns="http://schemas.microsoft.com/office/infopath/2007/PartnerControls">12e6d7b3-7bb2-4442-bdea-83d630089792</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environmental release</TermName>
          <TermId xmlns="http://schemas.microsoft.com/office/infopath/2007/PartnerControls">59544114-b52c-4fcc-9dbf-fb79dfd5d018</TermId>
        </TermInfo>
      </Terms>
    </TaxKeywordTaxHTField>
    <Rights xmlns="4ffa91fb-a0ff-4ac5-b2db-65c790d184a4" xsi:nil="true"/>
    <External_x0020_Contributor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lcf76f155ced4ddcb4097134ff3c332f xmlns="ead8da0f-3542-4e50-96c8-f1f698624e86">
      <Terms xmlns="http://schemas.microsoft.com/office/infopath/2007/PartnerControls"/>
    </lcf76f155ced4ddcb4097134ff3c332f>
    <TaxCatchAll xmlns="4ffa91fb-a0ff-4ac5-b2db-65c790d184a4">
      <Value>2181</Value>
      <Value>1115</Value>
      <Value>2182</Value>
      <Value>2096</Value>
      <Value>1058</Value>
      <Value>1190</Value>
    </TaxCatchAll>
    <e3f09c3df709400db2417a7161762d62 xmlns="4ffa91fb-a0ff-4ac5-b2db-65c790d184a4">
      <Terms xmlns="http://schemas.microsoft.com/office/infopath/2007/PartnerControls"/>
    </e3f09c3df709400db2417a7161762d62>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877D71EB-D6A4-41A7-BB9A-9F482E4113D4}">
  <ds:schemaRefs>
    <ds:schemaRef ds:uri="http://schemas.microsoft.com/sharepoint/v3/contenttype/forms"/>
  </ds:schemaRefs>
</ds:datastoreItem>
</file>

<file path=customXml/itemProps2.xml><?xml version="1.0" encoding="utf-8"?>
<ds:datastoreItem xmlns:ds="http://schemas.openxmlformats.org/officeDocument/2006/customXml" ds:itemID="{6140C62C-2E09-4FE7-8806-55BC2B78BD42}">
  <ds:schemaRefs>
    <ds:schemaRef ds:uri="http://schemas.microsoft.com/office/2006/metadata/properties"/>
    <ds:schemaRef ds:uri="http://schemas.microsoft.com/office/infopath/2007/PartnerControls"/>
    <ds:schemaRef ds:uri="http://schemas.microsoft.com/sharepoint/v3/fields"/>
    <ds:schemaRef ds:uri="4ffa91fb-a0ff-4ac5-b2db-65c790d184a4"/>
    <ds:schemaRef ds:uri="http://schemas.microsoft.com/sharepoint.v3"/>
    <ds:schemaRef ds:uri="http://schemas.microsoft.com/sharepoint/v3"/>
    <ds:schemaRef ds:uri="ead8da0f-3542-4e50-96c8-f1f698624e86"/>
  </ds:schemaRefs>
</ds:datastoreItem>
</file>

<file path=customXml/itemProps3.xml><?xml version="1.0" encoding="utf-8"?>
<ds:datastoreItem xmlns:ds="http://schemas.openxmlformats.org/officeDocument/2006/customXml" ds:itemID="{960115A4-7EA5-4863-B973-6C2641BF7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BE8EFD-C26C-4E9B-A3FA-7A2B141C559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62</vt:i4>
      </vt:variant>
    </vt:vector>
  </HeadingPairs>
  <TitlesOfParts>
    <vt:vector size="72" baseType="lpstr">
      <vt:lpstr>Cover Page</vt:lpstr>
      <vt:lpstr>ReadMe</vt:lpstr>
      <vt:lpstr>Release Summary</vt:lpstr>
      <vt:lpstr>Release Point Summary</vt:lpstr>
      <vt:lpstr>Product Selector Data</vt:lpstr>
      <vt:lpstr>Release Parameters</vt:lpstr>
      <vt:lpstr>Release Calcs</vt:lpstr>
      <vt:lpstr>Release Results</vt:lpstr>
      <vt:lpstr>Static Release Results</vt:lpstr>
      <vt:lpstr>NAICS Codes</vt:lpstr>
      <vt:lpstr>A_app_site</vt:lpstr>
      <vt:lpstr>AREA_opening</vt:lpstr>
      <vt:lpstr>cm3_per_gal</vt:lpstr>
      <vt:lpstr>D_opening</vt:lpstr>
      <vt:lpstr>F_chem_side</vt:lpstr>
      <vt:lpstr>F_chem_SPF</vt:lpstr>
      <vt:lpstr>F_container_disp</vt:lpstr>
      <vt:lpstr>F_equipment_cleaning</vt:lpstr>
      <vt:lpstr>F_saturation_unloading</vt:lpstr>
      <vt:lpstr>F_side_SPF</vt:lpstr>
      <vt:lpstr>F_spray_release</vt:lpstr>
      <vt:lpstr>F_trimming</vt:lpstr>
      <vt:lpstr>F_vapor_pressure</vt:lpstr>
      <vt:lpstr>FREQ_release</vt:lpstr>
      <vt:lpstr>ft_per_cm</vt:lpstr>
      <vt:lpstr>g_per_kg</vt:lpstr>
      <vt:lpstr>kg_per_g</vt:lpstr>
      <vt:lpstr>kg_per_lb</vt:lpstr>
      <vt:lpstr>L_per_gal</vt:lpstr>
      <vt:lpstr>MW_trans12DCE</vt:lpstr>
      <vt:lpstr>N_container_unload_site_day</vt:lpstr>
      <vt:lpstr>N_container_unload_site_yr</vt:lpstr>
      <vt:lpstr>N_contractor</vt:lpstr>
      <vt:lpstr>N_sites</vt:lpstr>
      <vt:lpstr>P_atm</vt:lpstr>
      <vt:lpstr>P_torr</vt:lpstr>
      <vt:lpstr>PV</vt:lpstr>
      <vt:lpstr>Q_chem_site_day</vt:lpstr>
      <vt:lpstr>Q_chem_site_day_recalc</vt:lpstr>
      <vt:lpstr>Q_chem_site_yr</vt:lpstr>
      <vt:lpstr>Q_chem_yr</vt:lpstr>
      <vt:lpstr>Q_SPF_site</vt:lpstr>
      <vt:lpstr>R_atm_cm3_per_mol_K</vt:lpstr>
      <vt:lpstr>RATE_air_speed</vt:lpstr>
      <vt:lpstr>RATE_unload</vt:lpstr>
      <vt:lpstr>Release_Day_Air</vt:lpstr>
      <vt:lpstr>Release_Day_RP1</vt:lpstr>
      <vt:lpstr>Release_Day_RP2</vt:lpstr>
      <vt:lpstr>Release_Day_RP3</vt:lpstr>
      <vt:lpstr>Release_Day_RP4</vt:lpstr>
      <vt:lpstr>Release_Day_RP5</vt:lpstr>
      <vt:lpstr>Release_Day_RP6</vt:lpstr>
      <vt:lpstr>Release_Day_Wat_Inc_Lan</vt:lpstr>
      <vt:lpstr>Release_Year_Air</vt:lpstr>
      <vt:lpstr>Release_Year_RP1</vt:lpstr>
      <vt:lpstr>Release_Year_RP2</vt:lpstr>
      <vt:lpstr>Release_Year_RP3</vt:lpstr>
      <vt:lpstr>Release_Year_RP4</vt:lpstr>
      <vt:lpstr>Release_Year_RP5</vt:lpstr>
      <vt:lpstr>Release_Year_RP6</vt:lpstr>
      <vt:lpstr>Release_Year_Wat_Inc_Lan</vt:lpstr>
      <vt:lpstr>RHO_formulation</vt:lpstr>
      <vt:lpstr>RHO_SPF</vt:lpstr>
      <vt:lpstr>s_per_hr</vt:lpstr>
      <vt:lpstr>T_SPF</vt:lpstr>
      <vt:lpstr>TEMP</vt:lpstr>
      <vt:lpstr>TIME_operating_days_company</vt:lpstr>
      <vt:lpstr>TIME_operating_days_site</vt:lpstr>
      <vt:lpstr>TIMEoperating_days_contractor</vt:lpstr>
      <vt:lpstr>Torr_per_atm</vt:lpstr>
      <vt:lpstr>V_container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Blowing Agent in Spray Foam Environmental Release Model for trans-1,2-Dichloroethylene</dc:title>
  <dc:subject>Draft Risk Evaluation for trans-1,2-Dichloroethylene</dc:subject>
  <dc:creator/>
  <cp:keywords>trans-1,2-Dichloroethylene; risk assessment; environmental release; blowing agent; spray foam</cp:keywords>
  <dc:description/>
  <cp:lastModifiedBy/>
  <cp:revision>1</cp:revision>
  <dcterms:created xsi:type="dcterms:W3CDTF">2026-07-30T15:49:43Z</dcterms:created>
  <dcterms:modified xsi:type="dcterms:W3CDTF">2026-07-30T16:29:27Z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2181;#blowing agent|4f55f0c8-0b27-4711-8123-e7ce4a902e66;#1115;#2-Dichloroethylene|843fbadb-1231-4ab9-833b-3a6af9331804;#2182;#spray foam|12e6d7b3-7bb2-4442-bdea-83d630089792;#2096;#trans-1|3bd1ca93-0ea3-47d7-9577-5c84a0904703;#1058;#risk assessment|11111111-1111-1111-1111-111111111111;#1190;#environmental release|59544114-b52c-4fcc-9dbf-fb79dfd5d018</vt:lpwstr>
  </property>
  <property fmtid="{D5CDD505-2E9C-101B-9397-08002B2CF9AE}" pid="3" name="Document_x0020_Type">
    <vt:lpwstr/>
  </property>
  <property fmtid="{D5CDD505-2E9C-101B-9397-08002B2CF9AE}" pid="4" name="MediaServiceImageTags">
    <vt:lpwstr/>
  </property>
  <property fmtid="{D5CDD505-2E9C-101B-9397-08002B2CF9AE}" pid="5" name="ContentTypeId">
    <vt:lpwstr>0x010100D723352F79007E408EFF44D6142FFCE2</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