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xr:revisionPtr revIDLastSave="59" documentId="8_{8164FCA6-6766-4E08-ADE6-B8B4A9D4BFAA}" xr6:coauthVersionLast="47" xr6:coauthVersionMax="47" xr10:uidLastSave="{D6E2CD08-5484-4775-B127-B75E2EF5005D}"/>
  <bookViews>
    <workbookView xWindow="-110" yWindow="-110" windowWidth="19420" windowHeight="10300" xr2:uid="{F81921DB-5719-4D1D-8BDC-C1AC69E3F5B0}"/>
  </bookViews>
  <sheets>
    <sheet name="Cover Page" sheetId="17" r:id="rId1"/>
    <sheet name="ReadMe" sheetId="12" r:id="rId2"/>
    <sheet name="Parameters" sheetId="4" r:id="rId3"/>
    <sheet name="Discrete Distributions" sheetId="14" r:id="rId4"/>
    <sheet name="Calculations" sheetId="1" r:id="rId5"/>
    <sheet name="Exposure Results" sheetId="15" r:id="rId6"/>
    <sheet name="Static Exposure Results" sheetId="16" r:id="rId7"/>
    <sheet name="Chemistry" sheetId="5" r:id="rId8"/>
    <sheet name="Products" sheetId="10" r:id="rId9"/>
    <sheet name="OES Lookups" sheetId="7" r:id="rId10"/>
  </sheets>
  <externalReferences>
    <externalReference r:id="rId11"/>
  </externalReferences>
  <definedNames>
    <definedName name="_2017NEI_Nonpoint_TSCA_Chem_List">#REF!</definedName>
    <definedName name="_2017NEI_tsca_chemicals_wSCCdetail_Query">#REF!</definedName>
    <definedName name="_AtRisk_ReportsSetting_ReportGraphOptions" hidden="1">"REP:VER:8.0.0GRA:OUT:003INS:00SUM:T00DET:T00SCE:02SC1:39DAT:2|TRUE, .75, 1|TRUE, 0, .25|TRUE, .9, 1SE1:40DAT:3,10,2, .95,5,16,FALSE, 0,TRUE,TRUE,TRUESE2:40DAT:3,10,2, .95,5,16,FALSE, 0,TRUE,TRUE,TRUETSI:002"</definedName>
    <definedName name="_AtRisk_ReportsSetting_ReportMulitSelections" hidden="1">"REP:VER:8.0.0MUL:OUT:T10INS:T11SUM:T10DET:T10SEN:T11SCE:T11TEM:F"</definedName>
    <definedName name="_AtRisk_ReportsSetting_ReportOptions" hidden="1">CONCATENATE("REP:VER:8.0.0OPT:RAP:01RWE:02RLS:04ROT:00RST:00RRT:04AGR:FAFN:195DAT:P:\CEB\ExistingChems\Work Plan Chemicals\2nd Batch\Flame Retardants\TCEP\b-RiskEvaluation\3_Release Estimate\Release Simulations\Saved Scenario Runs\Release_Import COU_Scenario 2_27"," May 2022.xlsxOGR:T")</definedName>
    <definedName name="_AtRisk_ReportsSetting_ReportSelectedSimulationsDET" hidden="1">"AQA="</definedName>
    <definedName name="_AtRisk_ReportsSetting_ReportSelectedSimulationsINS" hidden="1">"AQA="</definedName>
    <definedName name="_AtRisk_ReportsSetting_ReportSelectedSimulationsOUT" hidden="1">"AQA="</definedName>
    <definedName name="_AtRisk_ReportsSetting_ReportSelectedSimulationsSCE" hidden="1">"AQA="</definedName>
    <definedName name="_AtRisk_ReportsSetting_ReportSelectedSimulationsSEN" hidden="1">"AQA="</definedName>
    <definedName name="_AtRisk_ReportsSetting_ReportSelectedSimulationsSUM" hidden="1">"AQA="</definedName>
    <definedName name="_AtRisk_SimSetting_AutomaticallyGenerateReports" hidden="1">FALSE</definedName>
    <definedName name="_AtRisk_SimSetting_AutomaticResultsDisplayMode" localSheetId="7" hidden="1">0</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7" hidden="1">100</definedName>
    <definedName name="_AtRisk_SimSetting_ConvergenceTestingPeriod" localSheetId="0" hidden="1">100</definedName>
    <definedName name="_AtRisk_SimSetting_ConvergenceTestingPeriod" hidden="1">10</definedName>
    <definedName name="_AtRisk_SimSetting_ConvergenceTolerance" localSheetId="7" hidden="1">0.03</definedName>
    <definedName name="_AtRisk_SimSetting_ConvergenceTolerance" localSheetId="0" hidden="1">0.03</definedName>
    <definedName name="_AtRisk_SimSetting_ConvergenceTolerance" hidden="1">0.01</definedName>
    <definedName name="_AtRisk_SimSetting_CorrelationEnabledState" hidden="1">1</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localSheetId="7" hidden="1">0</definedName>
    <definedName name="_AtRisk_SimSetting_MacroRecalculationBehavior" hidden="1">0</definedName>
    <definedName name="_AtRisk_SimSetting_MaxAutoIterations" hidden="1">50000</definedName>
    <definedName name="_AtRisk_SimSetting_MultipleCPUCount" localSheetId="0" hidden="1">-1</definedName>
    <definedName name="_AtRisk_SimSetting_MultipleCPUCount" hidden="1">8</definedName>
    <definedName name="_AtRisk_SimSetting_MultipleCPUManualCount" hidden="1">8</definedName>
    <definedName name="_AtRisk_SimSetting_MultipleCPUMode" localSheetId="0" hidden="1">1</definedName>
    <definedName name="_AtRisk_SimSetting_MultipleCPUMode" hidden="1">2</definedName>
    <definedName name="_AtRisk_SimSetting_MultipleCPUModeV8" localSheetId="0" hidden="1">1</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15</definedName>
    <definedName name="_AtRisk_SimSetting_ReportOptionReportsFileType" hidden="1">1</definedName>
    <definedName name="_AtRisk_SimSetting_ReportOptionSelectiveQR" hidden="1">FALSE</definedName>
    <definedName name="_AtRisk_SimSetting_ReportsList" hidden="1">15</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7" hidden="1">1</definedName>
    <definedName name="_AtRisk_SimSetting_StdRecalcWithoutRiskStatic" hidden="1">0</definedName>
    <definedName name="_AtRisk_SimSetting_StdRecalcWithoutRiskStaticPercentile" hidden="1">0.5</definedName>
    <definedName name="_xlnm._FilterDatabase" localSheetId="4" hidden="1">Calculations!$B$1:$G$82</definedName>
    <definedName name="_xlnm._FilterDatabase" localSheetId="7" hidden="1">Chemistry!$A$1:$C$7</definedName>
    <definedName name="_xlnm._FilterDatabase" localSheetId="3" hidden="1">'Discrete Distributions'!$B$2:$BC$203</definedName>
    <definedName name="_xlnm._FilterDatabase" localSheetId="5" hidden="1">'Exposure Results'!$A$1:$H$120</definedName>
    <definedName name="_xlnm._FilterDatabase" localSheetId="9" hidden="1">'OES Lookups'!$B$2:$C$19</definedName>
    <definedName name="_xlnm._FilterDatabase" localSheetId="2" hidden="1">Parameters!$B$2:$Q$50</definedName>
    <definedName name="_xlnm._FilterDatabase" localSheetId="8" hidden="1">Products!$A$2:$G$252</definedName>
    <definedName name="_xlnm._FilterDatabase" localSheetId="1" hidden="1">ReadMe!$B$2:$C$18</definedName>
    <definedName name="_xlnm._FilterDatabase" localSheetId="6" hidden="1">'Static Exposure Results'!$A$1:$H$120</definedName>
    <definedName name="ARD_1">Calculations!$F$4</definedName>
    <definedName name="ARD_10">Calculations!$F$49</definedName>
    <definedName name="ARD_11">Calculations!$F$54</definedName>
    <definedName name="ARD_12">Calculations!$F$59</definedName>
    <definedName name="ARD_13">Calculations!$F$64</definedName>
    <definedName name="ARD_14">Calculations!$F$69</definedName>
    <definedName name="ARD_15">Calculations!$F$74</definedName>
    <definedName name="ARD_16">Calculations!$F$79</definedName>
    <definedName name="ARD_2">Calculations!$F$9</definedName>
    <definedName name="ARD_3">Calculations!$F$14</definedName>
    <definedName name="ARD_4">Calculations!$F$19</definedName>
    <definedName name="ARD_5">Calculations!$F$24</definedName>
    <definedName name="ARD_6">Calculations!$F$29</definedName>
    <definedName name="ARD_7">Calculations!$F$34</definedName>
    <definedName name="ARD_8">Calculations!$F$39</definedName>
    <definedName name="ARD_9">Calculations!$F$44</definedName>
    <definedName name="ARDavg1">[1]Calculations!$G$5</definedName>
    <definedName name="AT">#REF!</definedName>
    <definedName name="AT_50th_non_cancer">#REF!</definedName>
    <definedName name="AT_50th_non_cancer_DC">#REF!</definedName>
    <definedName name="AT_95th_non_cancer">#REF!</definedName>
    <definedName name="AT_95th_non_cancer_DC">#REF!</definedName>
    <definedName name="AT_AC">#REF!</definedName>
    <definedName name="AT_AC_DC">#REF!</definedName>
    <definedName name="AT_ADC_high">#REF!</definedName>
    <definedName name="AT_ADC_mid">#REF!</definedName>
    <definedName name="AT_cancer">#REF!</definedName>
    <definedName name="AT_cancer_DC">#REF!</definedName>
    <definedName name="AT_IT">Parameters!$E$48</definedName>
    <definedName name="AT_LADC">#REF!</definedName>
    <definedName name="AT_LCRD">Parameters!$E$49</definedName>
    <definedName name="AWD">#REF!</definedName>
    <definedName name="AWD_DC_50th">#REF!</definedName>
    <definedName name="AWD_DC_95th">#REF!</definedName>
    <definedName name="BW">Parameters!$M$9</definedName>
    <definedName name="CASRN">#REF!</definedName>
    <definedName name="CRD_1">Calculations!$F$6</definedName>
    <definedName name="CRD_10">Calculations!$F$51</definedName>
    <definedName name="CRD_11">Calculations!$F$56</definedName>
    <definedName name="CRD_12">Calculations!$F$61</definedName>
    <definedName name="CRD_13">Calculations!$F$66</definedName>
    <definedName name="CRD_14">Calculations!$F$71</definedName>
    <definedName name="CRD_15">Calculations!$F$76</definedName>
    <definedName name="CRD_16">Calculations!$F$81</definedName>
    <definedName name="CRD_2">Calculations!$F$11</definedName>
    <definedName name="CRD_3">Calculations!$F$16</definedName>
    <definedName name="CRD_4">Calculations!$F$21</definedName>
    <definedName name="CRD_5">Calculations!$F$26</definedName>
    <definedName name="CRD_6">Calculations!$F$31</definedName>
    <definedName name="CRD_7">Calculations!$F$36</definedName>
    <definedName name="CRD_8">Calculations!$F$41</definedName>
    <definedName name="CRD_9">Calculations!$F$46</definedName>
    <definedName name="CRDavg1">[1]Calculations!$G$9</definedName>
    <definedName name="ED">#REF!</definedName>
    <definedName name="ED_AC">#REF!</definedName>
    <definedName name="ED_AC_DC">#REF!</definedName>
    <definedName name="ED_chronic">#REF!</definedName>
    <definedName name="ED_chronic_DC">#REF!</definedName>
    <definedName name="EF">#REF!</definedName>
    <definedName name="EF_1">Parameters!$M$27</definedName>
    <definedName name="EF_10">Parameters!$M$36</definedName>
    <definedName name="EF_11">Parameters!$M$37</definedName>
    <definedName name="EF_12">Parameters!$M$38</definedName>
    <definedName name="EF_13">Parameters!$M$39</definedName>
    <definedName name="EF_14">'Discrete Distributions'!$BB$3</definedName>
    <definedName name="EF_15">Parameters!$M$41</definedName>
    <definedName name="EF_16">Parameters!$M$42</definedName>
    <definedName name="EF_2">Parameters!$M$28</definedName>
    <definedName name="EF_3">'Discrete Distributions'!$AW$3</definedName>
    <definedName name="EF_4">Parameters!$M$30</definedName>
    <definedName name="EF_5">Parameters!$M$31</definedName>
    <definedName name="EF_6">Parameters!$M$32</definedName>
    <definedName name="EF_7">Parameters!$M$33</definedName>
    <definedName name="EF_8">Parameters!$M$34</definedName>
    <definedName name="EF_9">Parameters!$M$35</definedName>
    <definedName name="EF_C">Parameters!$E$50</definedName>
    <definedName name="EF_IT">Parameters!$E$47</definedName>
    <definedName name="EG">#REF!</definedName>
    <definedName name="fabs">Parameters!$M$10</definedName>
    <definedName name="FT">Parameters!$E$46</definedName>
    <definedName name="IRD_1">Calculations!$F$5</definedName>
    <definedName name="IRD_10">Calculations!$F$50</definedName>
    <definedName name="IRD_11">Calculations!$F$55</definedName>
    <definedName name="IRD_12">Calculations!$F$60</definedName>
    <definedName name="IRD_13">Calculations!$F$65</definedName>
    <definedName name="IRD_14">Calculations!$F$70</definedName>
    <definedName name="IRD_15">Calculations!$F$75</definedName>
    <definedName name="IRD_16">Calculations!$F$80</definedName>
    <definedName name="IRD_2">Calculations!$F$10</definedName>
    <definedName name="IRD_3">Calculations!$F$15</definedName>
    <definedName name="IRD_4">Calculations!$F$20</definedName>
    <definedName name="IRD_5">Calculations!$F$25</definedName>
    <definedName name="IRD_6">Calculations!$F$30</definedName>
    <definedName name="IRD_7">Calculations!$F$35</definedName>
    <definedName name="IRD_8">Calculations!$F$40</definedName>
    <definedName name="IRD_9">Calculations!$F$45</definedName>
    <definedName name="IRDavg1">[1]Calculations!$G$7</definedName>
    <definedName name="LCRD_1">Calculations!$F$7</definedName>
    <definedName name="LCRD_10">Calculations!$F$52</definedName>
    <definedName name="LCRD_11">Calculations!$F$57</definedName>
    <definedName name="LCRD_12">Calculations!$F$62</definedName>
    <definedName name="LCRD_13">Calculations!$F$67</definedName>
    <definedName name="LCRD_14">Calculations!$F$72</definedName>
    <definedName name="LCRD_15">Calculations!$F$77</definedName>
    <definedName name="LCRD_16">Calculations!$F$82</definedName>
    <definedName name="LCRD_2">Calculations!$F$12</definedName>
    <definedName name="LCRD_3">Calculations!$F$17</definedName>
    <definedName name="LCRD_4">Calculations!$F$22</definedName>
    <definedName name="LCRD_5">Calculations!$F$27</definedName>
    <definedName name="LCRD_6">Calculations!$F$32</definedName>
    <definedName name="LCRD_7">Calculations!$F$37</definedName>
    <definedName name="LCRD_8">Calculations!$F$42</definedName>
    <definedName name="LCRD_9">Calculations!$F$47</definedName>
    <definedName name="LCRDavg1">[1]Calculations!$G$11</definedName>
    <definedName name="Pal_Workbook_GUID" localSheetId="0" hidden="1">"SK39RLEDQA2L46YW8H5SUKN3"</definedName>
    <definedName name="Pal_Workbook_GUID" localSheetId="9" hidden="1">"WJ6AM1BV9YV4DH5JIKE4SF1Z"</definedName>
    <definedName name="Pal_Workbook_GUID" localSheetId="1" hidden="1">"WJ6AM1BV9YV4DH5JIKE4SF1Z"</definedName>
    <definedName name="Pal_Workbook_GUID" hidden="1">"RRPSTTS2ULJVJC86SKVMXJ55"</definedName>
    <definedName name="PDR_1">Calculations!$F$3</definedName>
    <definedName name="PDR_10">Calculations!$F$48</definedName>
    <definedName name="PDR_11">Calculations!$F$53</definedName>
    <definedName name="PDR_12">Calculations!$F$58</definedName>
    <definedName name="PDR_13">Calculations!$F$63</definedName>
    <definedName name="PDR_14">Calculations!$F$68</definedName>
    <definedName name="PDR_15">Calculations!$F$73</definedName>
    <definedName name="PDR_16">Calculations!$F$78</definedName>
    <definedName name="PDR_2">Calculations!$F$8</definedName>
    <definedName name="PDR_3">Calculations!$F$13</definedName>
    <definedName name="PDR_4">Calculations!$F$18</definedName>
    <definedName name="PDR_5">Calculations!$F$23</definedName>
    <definedName name="PDR_6">Calculations!$F$28</definedName>
    <definedName name="PDR_7">Calculations!$F$33</definedName>
    <definedName name="PDR_8">Calculations!$F$38</definedName>
    <definedName name="PDR_9">Calculations!$F$43</definedName>
    <definedName name="PDRavg1">[1]Calculations!$G$3</definedName>
    <definedName name="Qu">Parameters!$M$7</definedName>
    <definedName name="RiskAfterRecalcMacro" localSheetId="7" hidden="1">""</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0" hidden="1">TRUE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imulationResultsExternalFilePath" hidden="1">"C:\Users\ERGUSER\OneDrive - Eastern Research Group\Documents\_ExChems\Chlorinated Solvents\tDCE\Dermal\tDCE Dermal Exposure Model_2026.05.06.RSK5"</definedName>
    <definedName name="RiskSimulationResultsStorageLocation" hidden="1">"3"</definedName>
    <definedName name="RiskStandardRecalc" localSheetId="7" hidden="1">0</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0" hidden="1">TRUE</definedName>
    <definedName name="RiskUseMultipleCPUs" hidden="1">FALSE</definedName>
    <definedName name="S">Parameters!$M$6</definedName>
    <definedName name="what">#REF!</definedName>
    <definedName name="WY">Parameters!$M$8</definedName>
    <definedName name="WY_50th">#REF!</definedName>
    <definedName name="WY_50th_DC">#REF!</definedName>
    <definedName name="WY_95th">#REF!</definedName>
    <definedName name="WY_95th_DC">#REF!</definedName>
    <definedName name="WY_high">#REF!</definedName>
    <definedName name="WY_mid">#REF!</definedName>
    <definedName name="Yderm1">Parameters!$M$11</definedName>
    <definedName name="Yderm10">'Discrete Distributions'!$X$3</definedName>
    <definedName name="Yderm11">'Discrete Distributions'!$AC$3</definedName>
    <definedName name="Yderm12">'Discrete Distributions'!$AH$3</definedName>
    <definedName name="Yderm13">Parameters!$M$23</definedName>
    <definedName name="Yderm14">'Discrete Distributions'!$AM$3</definedName>
    <definedName name="Yderm15">'Discrete Distributions'!$AR$3</definedName>
    <definedName name="Yderm16">Parameters!$M$26</definedName>
    <definedName name="Yderm2">Parameters!$M$12</definedName>
    <definedName name="Yderm3">Parameters!$M$13</definedName>
    <definedName name="Yderm4">Parameters!$M$14</definedName>
    <definedName name="Yderm5">Parameters!$M$15</definedName>
    <definedName name="Yderm6">'Discrete Distributions'!$D$3</definedName>
    <definedName name="Yderm7">'Discrete Distributions'!$I$3</definedName>
    <definedName name="Yderm8">'Discrete Distributions'!$N$3</definedName>
    <definedName name="Yderm9">'Discrete Distributions'!$S$3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1" i="14" l="1" a="1"/>
  <c r="J141" i="14" s="1"/>
  <c r="J142" i="14" a="1"/>
  <c r="J142" i="14" s="1"/>
  <c r="J143" i="14" a="1"/>
  <c r="J143" i="14" s="1"/>
  <c r="J144" i="14" a="1"/>
  <c r="J144" i="14" s="1"/>
  <c r="J145" i="14" a="1"/>
  <c r="J145" i="14" s="1"/>
  <c r="J146" i="14" a="1"/>
  <c r="J146" i="14" s="1"/>
  <c r="J147" i="14" a="1"/>
  <c r="J147" i="14" s="1"/>
  <c r="J148" i="14" a="1"/>
  <c r="J148" i="14" s="1"/>
  <c r="J149" i="14" a="1"/>
  <c r="J149" i="14" s="1"/>
  <c r="J150" i="14" a="1"/>
  <c r="J150" i="14" s="1"/>
  <c r="J151" i="14" a="1"/>
  <c r="J151" i="14" s="1"/>
  <c r="J152" i="14" a="1"/>
  <c r="J152" i="14" s="1"/>
  <c r="J153" i="14" a="1"/>
  <c r="J153" i="14" s="1"/>
  <c r="J154" i="14" a="1"/>
  <c r="J154" i="14" s="1"/>
  <c r="J155" i="14" a="1"/>
  <c r="J155" i="14" s="1"/>
  <c r="J156" i="14" a="1"/>
  <c r="J156" i="14" s="1"/>
  <c r="J157" i="14" a="1"/>
  <c r="J157" i="14" s="1"/>
  <c r="J158" i="14" a="1"/>
  <c r="J158" i="14" s="1"/>
  <c r="J159" i="14" a="1"/>
  <c r="J159" i="14" s="1"/>
  <c r="J160" i="14" a="1"/>
  <c r="J160" i="14" s="1"/>
  <c r="J161" i="14" a="1"/>
  <c r="J161" i="14" s="1"/>
  <c r="J162" i="14" a="1"/>
  <c r="J162" i="14" s="1"/>
  <c r="J163" i="14" a="1"/>
  <c r="J163" i="14" s="1"/>
  <c r="J164" i="14" a="1"/>
  <c r="J164" i="14" s="1"/>
  <c r="J165" i="14" a="1"/>
  <c r="J165" i="14" s="1"/>
  <c r="J166" i="14" a="1"/>
  <c r="J166" i="14" s="1"/>
  <c r="J167" i="14" a="1"/>
  <c r="J167" i="14" s="1"/>
  <c r="J168" i="14" a="1"/>
  <c r="J168" i="14" s="1"/>
  <c r="J169" i="14" a="1"/>
  <c r="J169" i="14" s="1"/>
  <c r="J170" i="14" a="1"/>
  <c r="J170" i="14" s="1"/>
  <c r="J171" i="14" a="1"/>
  <c r="J171" i="14" s="1"/>
  <c r="J172" i="14" a="1"/>
  <c r="J172" i="14" s="1"/>
  <c r="J173" i="14" a="1"/>
  <c r="J173" i="14" s="1"/>
  <c r="J174" i="14" a="1"/>
  <c r="J174" i="14" s="1"/>
  <c r="J175" i="14" a="1"/>
  <c r="J175" i="14" s="1"/>
  <c r="J176" i="14" a="1"/>
  <c r="J176" i="14" s="1"/>
  <c r="J177" i="14" a="1"/>
  <c r="J177" i="14" s="1"/>
  <c r="J178" i="14" a="1"/>
  <c r="J178" i="14" s="1"/>
  <c r="J179" i="14" a="1"/>
  <c r="J179" i="14" s="1"/>
  <c r="J180" i="14" a="1"/>
  <c r="J180" i="14" s="1"/>
  <c r="J181" i="14" a="1"/>
  <c r="J181" i="14" s="1"/>
  <c r="J182" i="14" a="1"/>
  <c r="J182" i="14" s="1"/>
  <c r="J183" i="14" a="1"/>
  <c r="J183" i="14" s="1"/>
  <c r="J184" i="14" a="1"/>
  <c r="J184" i="14" s="1"/>
  <c r="J185" i="14" a="1"/>
  <c r="J185" i="14" s="1"/>
  <c r="J186" i="14" a="1"/>
  <c r="J186" i="14" s="1"/>
  <c r="J187" i="14" a="1"/>
  <c r="J187" i="14" s="1"/>
  <c r="J188" i="14" a="1"/>
  <c r="J188" i="14" s="1"/>
  <c r="J189" i="14" a="1"/>
  <c r="J189" i="14" s="1"/>
  <c r="J190" i="14" a="1"/>
  <c r="J190" i="14" s="1"/>
  <c r="J191" i="14" a="1"/>
  <c r="J191" i="14" s="1"/>
  <c r="J192" i="14" a="1"/>
  <c r="J192" i="14" s="1"/>
  <c r="J193" i="14" a="1"/>
  <c r="J193" i="14" s="1"/>
  <c r="J194" i="14" a="1"/>
  <c r="J194" i="14" s="1"/>
  <c r="J195" i="14" a="1"/>
  <c r="J195" i="14" s="1"/>
  <c r="J196" i="14" a="1"/>
  <c r="J196" i="14" s="1"/>
  <c r="J197" i="14" a="1"/>
  <c r="J197" i="14" s="1"/>
  <c r="J198" i="14" a="1"/>
  <c r="J198" i="14" s="1"/>
  <c r="J199" i="14" a="1"/>
  <c r="J199" i="14" s="1"/>
  <c r="J200" i="14" a="1"/>
  <c r="J200" i="14" s="1"/>
  <c r="J201" i="14" a="1"/>
  <c r="J201" i="14" s="1"/>
  <c r="J202" i="14" a="1"/>
  <c r="J202" i="14" s="1"/>
  <c r="J203" i="14" a="1"/>
  <c r="J203" i="14" s="1"/>
  <c r="E141" i="14" a="1"/>
  <c r="E141" i="14" s="1"/>
  <c r="J140" i="14" a="1"/>
  <c r="J140" i="14" s="1"/>
  <c r="E140" i="14" a="1"/>
  <c r="E140" i="14" s="1"/>
  <c r="J139" i="14" a="1"/>
  <c r="J139" i="14" s="1"/>
  <c r="E139" i="14" a="1"/>
  <c r="E139" i="14" s="1"/>
  <c r="J138" i="14" a="1"/>
  <c r="J138" i="14" s="1"/>
  <c r="E138" i="14" a="1"/>
  <c r="E138" i="14" s="1"/>
  <c r="J137" i="14" a="1"/>
  <c r="J137" i="14" s="1"/>
  <c r="E137" i="14" a="1"/>
  <c r="E137" i="14" s="1"/>
  <c r="J136" i="14" a="1"/>
  <c r="J136" i="14" s="1"/>
  <c r="E136" i="14" a="1"/>
  <c r="E136" i="14" s="1"/>
  <c r="J135" i="14" a="1"/>
  <c r="J135" i="14" s="1"/>
  <c r="E135" i="14" a="1"/>
  <c r="E135" i="14" s="1"/>
  <c r="J134" i="14" a="1"/>
  <c r="J134" i="14" s="1"/>
  <c r="E134" i="14" a="1"/>
  <c r="E134" i="14" s="1"/>
  <c r="J133" i="14" a="1"/>
  <c r="J133" i="14" s="1"/>
  <c r="E133" i="14" a="1"/>
  <c r="E133" i="14" s="1"/>
  <c r="J132" i="14" a="1"/>
  <c r="J132" i="14" s="1"/>
  <c r="E132" i="14" a="1"/>
  <c r="E132" i="14" s="1"/>
  <c r="J131" i="14" a="1"/>
  <c r="J131" i="14" s="1"/>
  <c r="E131" i="14" a="1"/>
  <c r="E131" i="14" s="1"/>
  <c r="J130" i="14" a="1"/>
  <c r="J130" i="14" s="1"/>
  <c r="E130" i="14" a="1"/>
  <c r="E130" i="14" s="1"/>
  <c r="J129" i="14" a="1"/>
  <c r="J129" i="14" s="1"/>
  <c r="E129" i="14" a="1"/>
  <c r="E129" i="14" s="1"/>
  <c r="J128" i="14" a="1"/>
  <c r="J128" i="14" s="1"/>
  <c r="E128" i="14" a="1"/>
  <c r="E128" i="14" s="1"/>
  <c r="J127" i="14" a="1"/>
  <c r="J127" i="14" s="1"/>
  <c r="E127" i="14" a="1"/>
  <c r="E127" i="14" s="1"/>
  <c r="J126" i="14" a="1"/>
  <c r="J126" i="14" s="1"/>
  <c r="E126" i="14" a="1"/>
  <c r="E126" i="14" s="1"/>
  <c r="J125" i="14" a="1"/>
  <c r="J125" i="14" s="1"/>
  <c r="E125" i="14" a="1"/>
  <c r="E125" i="14" s="1"/>
  <c r="J124" i="14" a="1"/>
  <c r="J124" i="14" s="1"/>
  <c r="E124" i="14" a="1"/>
  <c r="E124" i="14" s="1"/>
  <c r="J123" i="14" a="1"/>
  <c r="J123" i="14" s="1"/>
  <c r="E123" i="14" a="1"/>
  <c r="E123" i="14" s="1"/>
  <c r="J122" i="14" a="1"/>
  <c r="J122" i="14" s="1"/>
  <c r="E122" i="14" a="1"/>
  <c r="E122" i="14" s="1"/>
  <c r="J121" i="14" a="1"/>
  <c r="J121" i="14" s="1"/>
  <c r="E121" i="14" a="1"/>
  <c r="E121" i="14" s="1"/>
  <c r="J120" i="14" a="1"/>
  <c r="J120" i="14" s="1"/>
  <c r="E120" i="14" a="1"/>
  <c r="E120" i="14" s="1"/>
  <c r="J119" i="14" a="1"/>
  <c r="J119" i="14" s="1"/>
  <c r="E119" i="14" a="1"/>
  <c r="E119" i="14" s="1"/>
  <c r="J118" i="14" a="1"/>
  <c r="J118" i="14" s="1"/>
  <c r="E118" i="14" a="1"/>
  <c r="E118" i="14" s="1"/>
  <c r="J117" i="14" a="1"/>
  <c r="J117" i="14" s="1"/>
  <c r="E117" i="14" a="1"/>
  <c r="E117" i="14" s="1"/>
  <c r="J116" i="14" a="1"/>
  <c r="J116" i="14" s="1"/>
  <c r="E116" i="14" a="1"/>
  <c r="E116" i="14" s="1"/>
  <c r="J115" i="14" a="1"/>
  <c r="J115" i="14" s="1"/>
  <c r="E115" i="14" a="1"/>
  <c r="E115" i="14" s="1"/>
  <c r="J114" i="14" a="1"/>
  <c r="J114" i="14" s="1"/>
  <c r="E114" i="14" a="1"/>
  <c r="E114" i="14" s="1"/>
  <c r="J113" i="14" a="1"/>
  <c r="J113" i="14" s="1"/>
  <c r="E113" i="14" a="1"/>
  <c r="E113" i="14" s="1"/>
  <c r="J112" i="14" a="1"/>
  <c r="J112" i="14" s="1"/>
  <c r="E112" i="14" a="1"/>
  <c r="E112" i="14" s="1"/>
  <c r="J111" i="14" a="1"/>
  <c r="J111" i="14" s="1"/>
  <c r="E111" i="14" a="1"/>
  <c r="E111" i="14" s="1"/>
  <c r="J110" i="14" a="1"/>
  <c r="J110" i="14" s="1"/>
  <c r="E110" i="14" a="1"/>
  <c r="E110" i="14" s="1"/>
  <c r="J109" i="14" a="1"/>
  <c r="J109" i="14" s="1"/>
  <c r="E109" i="14" a="1"/>
  <c r="E109" i="14" s="1"/>
  <c r="J108" i="14" a="1"/>
  <c r="J108" i="14" s="1"/>
  <c r="E108" i="14" a="1"/>
  <c r="E108" i="14" s="1"/>
  <c r="J107" i="14" a="1"/>
  <c r="J107" i="14" s="1"/>
  <c r="E107" i="14" a="1"/>
  <c r="E107" i="14" s="1"/>
  <c r="J106" i="14" a="1"/>
  <c r="J106" i="14" s="1"/>
  <c r="E106" i="14" a="1"/>
  <c r="E106" i="14" s="1"/>
  <c r="J105" i="14" a="1"/>
  <c r="J105" i="14" s="1"/>
  <c r="E76" i="14" a="1"/>
  <c r="E76" i="14" s="1"/>
  <c r="E77" i="14" a="1"/>
  <c r="E77" i="14" s="1"/>
  <c r="E78" i="14" a="1"/>
  <c r="E78" i="14" s="1"/>
  <c r="E79" i="14" a="1"/>
  <c r="E79" i="14" s="1"/>
  <c r="E80" i="14" a="1"/>
  <c r="E80" i="14" s="1"/>
  <c r="E81" i="14" a="1"/>
  <c r="E81" i="14" s="1"/>
  <c r="E82" i="14" a="1"/>
  <c r="E82" i="14" s="1"/>
  <c r="E83" i="14" a="1"/>
  <c r="E83" i="14" s="1"/>
  <c r="E84" i="14" a="1"/>
  <c r="E84" i="14" s="1"/>
  <c r="E85" i="14" a="1"/>
  <c r="E85" i="14" s="1"/>
  <c r="E86" i="14" a="1"/>
  <c r="E86" i="14" s="1"/>
  <c r="E87" i="14" a="1"/>
  <c r="E87" i="14" s="1"/>
  <c r="E88" i="14" a="1"/>
  <c r="E88" i="14" s="1"/>
  <c r="E89" i="14" a="1"/>
  <c r="E89" i="14" s="1"/>
  <c r="E90" i="14" a="1"/>
  <c r="E90" i="14" s="1"/>
  <c r="E91" i="14" a="1"/>
  <c r="E91" i="14" s="1"/>
  <c r="E92" i="14" a="1"/>
  <c r="E92" i="14" s="1"/>
  <c r="E93" i="14" a="1"/>
  <c r="E93" i="14" s="1"/>
  <c r="E94" i="14" a="1"/>
  <c r="E94" i="14" s="1"/>
  <c r="E95" i="14" a="1"/>
  <c r="E95" i="14" s="1"/>
  <c r="E96" i="14" a="1"/>
  <c r="E96" i="14" s="1"/>
  <c r="E97" i="14" a="1"/>
  <c r="E97" i="14" s="1"/>
  <c r="E98" i="14" a="1"/>
  <c r="E98" i="14" s="1"/>
  <c r="E99" i="14" a="1"/>
  <c r="E99" i="14" s="1"/>
  <c r="E100" i="14" a="1"/>
  <c r="E100" i="14" s="1"/>
  <c r="E101" i="14" a="1"/>
  <c r="E101" i="14" s="1"/>
  <c r="E102" i="14" a="1"/>
  <c r="E102" i="14" s="1"/>
  <c r="E103" i="14" a="1"/>
  <c r="E103" i="14" s="1"/>
  <c r="E104" i="14" a="1"/>
  <c r="E104" i="14" s="1"/>
  <c r="E105" i="14" a="1"/>
  <c r="E105" i="14" s="1"/>
  <c r="O75" i="14" a="1"/>
  <c r="O75" i="14" s="1"/>
  <c r="E75" i="14" a="1"/>
  <c r="E75" i="14" s="1"/>
  <c r="O74" i="14" a="1"/>
  <c r="O74" i="14" s="1"/>
  <c r="E74" i="14" a="1"/>
  <c r="E74" i="14" s="1"/>
  <c r="O41" i="14" a="1"/>
  <c r="O41" i="14" s="1"/>
  <c r="O42" i="14" a="1"/>
  <c r="O42" i="14" s="1"/>
  <c r="O43" i="14" a="1"/>
  <c r="O43" i="14" s="1"/>
  <c r="O44" i="14" a="1"/>
  <c r="O44" i="14" s="1"/>
  <c r="O45" i="14" a="1"/>
  <c r="O45" i="14" s="1"/>
  <c r="O46" i="14" a="1"/>
  <c r="O46" i="14" s="1"/>
  <c r="O47" i="14" a="1"/>
  <c r="O47" i="14" s="1"/>
  <c r="O48" i="14" a="1"/>
  <c r="O48" i="14" s="1"/>
  <c r="O49" i="14" a="1"/>
  <c r="O49" i="14" s="1"/>
  <c r="O50" i="14" a="1"/>
  <c r="O50" i="14" s="1"/>
  <c r="O51" i="14" a="1"/>
  <c r="O51" i="14" s="1"/>
  <c r="O52" i="14" a="1"/>
  <c r="O52" i="14" s="1"/>
  <c r="O53" i="14" a="1"/>
  <c r="O53" i="14" s="1"/>
  <c r="O54" i="14" a="1"/>
  <c r="O54" i="14" s="1"/>
  <c r="O55" i="14" a="1"/>
  <c r="O55" i="14" s="1"/>
  <c r="O56" i="14" a="1"/>
  <c r="O56" i="14" s="1"/>
  <c r="O57" i="14" a="1"/>
  <c r="O57" i="14" s="1"/>
  <c r="O58" i="14" a="1"/>
  <c r="O58" i="14" s="1"/>
  <c r="O59" i="14" a="1"/>
  <c r="O59" i="14" s="1"/>
  <c r="O60" i="14" a="1"/>
  <c r="O60" i="14" s="1"/>
  <c r="O61" i="14" a="1"/>
  <c r="O61" i="14" s="1"/>
  <c r="O62" i="14" a="1"/>
  <c r="O62" i="14" s="1"/>
  <c r="O63" i="14" a="1"/>
  <c r="O63" i="14" s="1"/>
  <c r="O64" i="14" a="1"/>
  <c r="O64" i="14" s="1"/>
  <c r="O65" i="14" a="1"/>
  <c r="O65" i="14" s="1"/>
  <c r="O66" i="14" a="1"/>
  <c r="O66" i="14" s="1"/>
  <c r="O67" i="14" a="1"/>
  <c r="O67" i="14" s="1"/>
  <c r="O68" i="14" a="1"/>
  <c r="O68" i="14" s="1"/>
  <c r="O69" i="14" a="1"/>
  <c r="O69" i="14" s="1"/>
  <c r="O70" i="14" a="1"/>
  <c r="O70" i="14" s="1"/>
  <c r="O71" i="14" a="1"/>
  <c r="O71" i="14" s="1"/>
  <c r="O72" i="14" a="1"/>
  <c r="O72" i="14" s="1"/>
  <c r="O73" i="14" a="1"/>
  <c r="O73" i="14" s="1"/>
  <c r="T26" i="14" a="1"/>
  <c r="T26" i="14" s="1"/>
  <c r="T27" i="14" a="1"/>
  <c r="T27" i="14" s="1"/>
  <c r="T28" i="14" a="1"/>
  <c r="T28" i="14" s="1"/>
  <c r="T29" i="14" a="1"/>
  <c r="T29" i="14" s="1"/>
  <c r="T30" i="14" a="1"/>
  <c r="T30" i="14" s="1"/>
  <c r="T31" i="14" a="1"/>
  <c r="T31" i="14" s="1"/>
  <c r="T32" i="14" a="1"/>
  <c r="T32" i="14" s="1"/>
  <c r="T33" i="14" a="1"/>
  <c r="T33" i="14" s="1"/>
  <c r="T34" i="14" a="1"/>
  <c r="T34" i="14" s="1"/>
  <c r="T35" i="14" a="1"/>
  <c r="T35" i="14" s="1"/>
  <c r="AI25" i="14" a="1"/>
  <c r="AI25" i="14" s="1"/>
  <c r="T25" i="14" a="1"/>
  <c r="T25" i="14" s="1"/>
  <c r="AI24" i="14" a="1"/>
  <c r="AI24" i="14" s="1"/>
  <c r="T24" i="14" a="1"/>
  <c r="T24" i="14" s="1"/>
  <c r="AI23" i="14" a="1"/>
  <c r="AI23" i="14" s="1"/>
  <c r="T23" i="14" a="1"/>
  <c r="T23" i="14" s="1"/>
  <c r="AI22" i="14" a="1"/>
  <c r="AI22" i="14" s="1"/>
  <c r="T22" i="14" a="1"/>
  <c r="T22" i="14" s="1"/>
  <c r="AS21" i="14" a="1"/>
  <c r="AS21" i="14" s="1"/>
  <c r="AI21" i="14" a="1"/>
  <c r="AI21" i="14" s="1"/>
  <c r="T21" i="14" a="1"/>
  <c r="T21" i="14" s="1"/>
  <c r="AS20" i="14" a="1"/>
  <c r="AS20" i="14" s="1"/>
  <c r="AI20" i="14" a="1"/>
  <c r="AI20" i="14" s="1"/>
  <c r="AS19" i="14" a="1"/>
  <c r="AS19" i="14" s="1"/>
  <c r="AI19" i="14" a="1"/>
  <c r="AI19" i="14" s="1"/>
  <c r="Y19" i="14" a="1"/>
  <c r="Y19" i="14" s="1"/>
  <c r="AS18" i="14" a="1"/>
  <c r="AS18" i="14" s="1"/>
  <c r="AI18" i="14" a="1"/>
  <c r="AI18" i="14" s="1"/>
  <c r="Y18" i="14" a="1"/>
  <c r="Y18" i="14" s="1"/>
  <c r="AS17" i="14" a="1"/>
  <c r="AS17" i="14" s="1"/>
  <c r="AI17" i="14" a="1"/>
  <c r="AI17" i="14" s="1"/>
  <c r="Y17" i="14" a="1"/>
  <c r="Y17" i="14" s="1"/>
  <c r="AS16" i="14" a="1"/>
  <c r="AS16" i="14" s="1"/>
  <c r="AI16" i="14" a="1"/>
  <c r="AI16" i="14" s="1"/>
  <c r="Y16" i="14" a="1"/>
  <c r="Y16" i="14" s="1"/>
  <c r="AS15" i="14" a="1"/>
  <c r="AS15" i="14" s="1"/>
  <c r="Y15" i="14" a="1"/>
  <c r="Y15" i="14" s="1"/>
  <c r="AS14" i="14" a="1"/>
  <c r="AS14" i="14" s="1"/>
  <c r="Y14" i="14" a="1"/>
  <c r="Y14" i="14" s="1"/>
  <c r="AN13" i="14" a="1"/>
  <c r="AN13" i="14" s="1"/>
  <c r="Y13" i="14" a="1"/>
  <c r="Y13" i="14" s="1"/>
  <c r="AN11" i="14" a="1"/>
  <c r="AN11" i="14" s="1"/>
  <c r="AN12" i="14" a="1"/>
  <c r="AN12" i="14" s="1"/>
  <c r="AD11" i="14" a="1"/>
  <c r="AD11" i="14" s="1"/>
  <c r="AN10" i="14" a="1"/>
  <c r="AN10" i="14" s="1"/>
  <c r="AD9" i="14" a="1"/>
  <c r="AD9" i="14" s="1"/>
  <c r="AD10" i="14" a="1"/>
  <c r="AD10" i="14" s="1"/>
  <c r="B114" i="15"/>
  <c r="B107" i="15"/>
  <c r="B100" i="15"/>
  <c r="B93" i="15"/>
  <c r="B86" i="15"/>
  <c r="B79" i="15"/>
  <c r="B72" i="15"/>
  <c r="B65" i="15"/>
  <c r="B58" i="15"/>
  <c r="B51" i="15"/>
  <c r="B44" i="15"/>
  <c r="B37" i="15"/>
  <c r="B30" i="15"/>
  <c r="B23" i="15"/>
  <c r="B16" i="15"/>
  <c r="B9" i="15"/>
  <c r="M42" i="4"/>
  <c r="M41" i="4"/>
  <c r="M35" i="4"/>
  <c r="M36" i="4"/>
  <c r="M37" i="4"/>
  <c r="M38" i="4"/>
  <c r="M39" i="4"/>
  <c r="AW7" i="14"/>
  <c r="AW6" i="14"/>
  <c r="AW5" i="14"/>
  <c r="BB6" i="14"/>
  <c r="BB7" i="14"/>
  <c r="BB5" i="14"/>
  <c r="M30" i="4"/>
  <c r="AR6" i="14"/>
  <c r="AR7" i="14"/>
  <c r="AR8" i="14"/>
  <c r="AR9" i="14"/>
  <c r="AR10" i="14"/>
  <c r="AR11" i="14"/>
  <c r="AR12" i="14"/>
  <c r="AR5" i="14"/>
  <c r="AM6" i="14"/>
  <c r="AM7" i="14"/>
  <c r="AM8" i="14"/>
  <c r="AM5" i="14"/>
  <c r="AC6" i="14"/>
  <c r="AC7" i="14"/>
  <c r="AC5" i="14"/>
  <c r="AH14" i="14"/>
  <c r="AH13" i="14"/>
  <c r="AH12" i="14"/>
  <c r="AH11" i="14"/>
  <c r="AH10" i="14"/>
  <c r="AH9" i="14"/>
  <c r="AH8" i="14"/>
  <c r="AH7" i="14"/>
  <c r="AH6" i="14"/>
  <c r="AH5" i="14"/>
  <c r="X6" i="14"/>
  <c r="X7" i="14"/>
  <c r="X8" i="14"/>
  <c r="X9" i="14"/>
  <c r="X10" i="14"/>
  <c r="X11" i="14"/>
  <c r="X5" i="14"/>
  <c r="S6" i="14"/>
  <c r="S7" i="14"/>
  <c r="S8" i="14"/>
  <c r="S9" i="14"/>
  <c r="S10" i="14"/>
  <c r="S11" i="14"/>
  <c r="S12" i="14"/>
  <c r="S13" i="14"/>
  <c r="S14" i="14"/>
  <c r="S15" i="14"/>
  <c r="S16" i="14"/>
  <c r="S17" i="14"/>
  <c r="S18" i="14"/>
  <c r="S19" i="14"/>
  <c r="S5" i="14"/>
  <c r="M9" i="4"/>
  <c r="N6" i="14"/>
  <c r="N7" i="14"/>
  <c r="N8" i="14"/>
  <c r="N9" i="14"/>
  <c r="N10" i="14"/>
  <c r="N11" i="14"/>
  <c r="N12" i="14"/>
  <c r="N13" i="14"/>
  <c r="N14" i="14"/>
  <c r="N15" i="14"/>
  <c r="N16" i="14"/>
  <c r="N17" i="14"/>
  <c r="N18" i="14"/>
  <c r="N19" i="14"/>
  <c r="N20" i="14"/>
  <c r="N21" i="14"/>
  <c r="N22" i="14"/>
  <c r="N23" i="14"/>
  <c r="N24" i="14"/>
  <c r="N25" i="14"/>
  <c r="N26" i="14"/>
  <c r="N27" i="14"/>
  <c r="N28" i="14"/>
  <c r="N29" i="14"/>
  <c r="N30" i="14"/>
  <c r="N31" i="14"/>
  <c r="N32" i="14"/>
  <c r="N33" i="14"/>
  <c r="N34" i="14"/>
  <c r="N35" i="14"/>
  <c r="N36" i="14"/>
  <c r="N37" i="14"/>
  <c r="N38" i="14"/>
  <c r="N39" i="14"/>
  <c r="N5" i="14"/>
  <c r="I6" i="14"/>
  <c r="I7" i="14"/>
  <c r="I8" i="14"/>
  <c r="I9" i="14"/>
  <c r="I10" i="14"/>
  <c r="I11" i="14"/>
  <c r="I12" i="14"/>
  <c r="I13" i="14"/>
  <c r="I14" i="14"/>
  <c r="I15" i="14"/>
  <c r="I16" i="14"/>
  <c r="I17" i="14"/>
  <c r="I18" i="14"/>
  <c r="I19" i="14"/>
  <c r="I20" i="14"/>
  <c r="I21" i="14"/>
  <c r="I22" i="14"/>
  <c r="I23" i="14"/>
  <c r="I24" i="14"/>
  <c r="I25" i="14"/>
  <c r="I26" i="14"/>
  <c r="I27" i="14"/>
  <c r="I28" i="14"/>
  <c r="I29" i="14"/>
  <c r="I30" i="14"/>
  <c r="I31" i="14"/>
  <c r="I32" i="14"/>
  <c r="I33" i="14"/>
  <c r="I34" i="14"/>
  <c r="I35" i="14"/>
  <c r="I36" i="14"/>
  <c r="I37" i="14"/>
  <c r="I38" i="14"/>
  <c r="I39" i="14"/>
  <c r="I40" i="14"/>
  <c r="I41" i="14"/>
  <c r="I42" i="14"/>
  <c r="I43" i="14"/>
  <c r="I44" i="14"/>
  <c r="I45" i="14"/>
  <c r="I46" i="14"/>
  <c r="I47" i="14"/>
  <c r="I48" i="14"/>
  <c r="I49" i="14"/>
  <c r="I50" i="14"/>
  <c r="I51" i="14"/>
  <c r="I52" i="14"/>
  <c r="I53" i="14"/>
  <c r="I54" i="14"/>
  <c r="I55" i="14"/>
  <c r="I56" i="14"/>
  <c r="I57" i="14"/>
  <c r="I58" i="14"/>
  <c r="I59" i="14"/>
  <c r="I60" i="14"/>
  <c r="I61" i="14"/>
  <c r="I62" i="14"/>
  <c r="I63" i="14"/>
  <c r="I64" i="14"/>
  <c r="I65" i="14"/>
  <c r="I66" i="14"/>
  <c r="I67" i="14"/>
  <c r="I68" i="14"/>
  <c r="I69" i="14"/>
  <c r="I70" i="14"/>
  <c r="I71" i="14"/>
  <c r="I72" i="14"/>
  <c r="I73" i="14"/>
  <c r="I74" i="14"/>
  <c r="I75" i="14"/>
  <c r="I76" i="14"/>
  <c r="I77" i="14"/>
  <c r="I78" i="14"/>
  <c r="I79" i="14"/>
  <c r="I80" i="14"/>
  <c r="I81" i="14"/>
  <c r="I82" i="14"/>
  <c r="I83" i="14"/>
  <c r="I84" i="14"/>
  <c r="I85" i="14"/>
  <c r="I86" i="14"/>
  <c r="I87" i="14"/>
  <c r="I88" i="14"/>
  <c r="I89" i="14"/>
  <c r="I90" i="14"/>
  <c r="I91" i="14"/>
  <c r="I92" i="14"/>
  <c r="I93" i="14"/>
  <c r="I94" i="14"/>
  <c r="I95" i="14"/>
  <c r="I96" i="14"/>
  <c r="I97" i="14"/>
  <c r="I98" i="14"/>
  <c r="I99" i="14"/>
  <c r="I100" i="14"/>
  <c r="I101" i="14"/>
  <c r="I102" i="14"/>
  <c r="I103" i="14"/>
  <c r="I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5" i="14"/>
  <c r="M33" i="4"/>
  <c r="M34" i="4"/>
  <c r="M32" i="4"/>
  <c r="M31" i="4"/>
  <c r="M28" i="4"/>
  <c r="M27" i="4"/>
  <c r="M23" i="4"/>
  <c r="M13" i="4"/>
  <c r="M14" i="4"/>
  <c r="M12" i="4"/>
  <c r="C42" i="4"/>
  <c r="C26" i="4"/>
  <c r="C39" i="4"/>
  <c r="C40" i="4"/>
  <c r="C41" i="4"/>
  <c r="C28" i="4"/>
  <c r="C29" i="4"/>
  <c r="C30" i="4"/>
  <c r="C31" i="4"/>
  <c r="C32" i="4"/>
  <c r="C33" i="4"/>
  <c r="C34" i="4"/>
  <c r="C35" i="4"/>
  <c r="C36" i="4"/>
  <c r="C37" i="4"/>
  <c r="C38" i="4"/>
  <c r="C27" i="4"/>
  <c r="C12" i="4"/>
  <c r="C13" i="4"/>
  <c r="C14" i="4"/>
  <c r="C15" i="4"/>
  <c r="C16" i="4"/>
  <c r="C17" i="4"/>
  <c r="C18" i="4"/>
  <c r="C19" i="4"/>
  <c r="C20" i="4"/>
  <c r="C21" i="4"/>
  <c r="C22" i="4"/>
  <c r="C23" i="4"/>
  <c r="C24" i="4"/>
  <c r="C25" i="4"/>
  <c r="C11" i="4"/>
  <c r="AX5" i="14" a="1"/>
  <c r="AD5" i="14" a="1"/>
  <c r="J5" i="14" a="1"/>
  <c r="L11" i="4" a="1"/>
  <c r="BC5" i="14" a="1"/>
  <c r="T5" i="14" a="1"/>
  <c r="AS5" i="14" a="1"/>
  <c r="L6" i="4" a="1"/>
  <c r="O5" i="14" a="1"/>
  <c r="AN5" i="14" a="1"/>
  <c r="L26" i="4" a="1"/>
  <c r="L7" i="4" a="1"/>
  <c r="AI5" i="14" a="1"/>
  <c r="L15" i="4" a="1"/>
  <c r="L8" i="4" a="1"/>
  <c r="Y5" i="14" a="1"/>
  <c r="L10" i="4" a="1"/>
  <c r="E5" i="14" a="1"/>
  <c r="E5" i="14" l="1"/>
  <c r="D3" i="14" s="1" a="1"/>
  <c r="L10" i="4"/>
  <c r="M10" i="4" s="1"/>
  <c r="Y5" i="14"/>
  <c r="X3" i="14" s="1" a="1"/>
  <c r="L8" i="4"/>
  <c r="M8" i="4" s="1"/>
  <c r="L15" i="4"/>
  <c r="M15" i="4" s="1"/>
  <c r="AI5" i="14"/>
  <c r="AH3" i="14" s="1" a="1"/>
  <c r="L7" i="4"/>
  <c r="M7" i="4" s="1"/>
  <c r="F18" i="1" s="1" a="1"/>
  <c r="L26" i="4"/>
  <c r="M26" i="4" s="1"/>
  <c r="AN5" i="14"/>
  <c r="AM3" i="14" s="1" a="1"/>
  <c r="O5" i="14"/>
  <c r="N3" i="14" s="1" a="1"/>
  <c r="L6" i="4"/>
  <c r="M6" i="4" s="1"/>
  <c r="AS5" i="14"/>
  <c r="AR3" i="14" s="1" a="1"/>
  <c r="T5" i="14"/>
  <c r="S3" i="14" s="1" a="1"/>
  <c r="BC5" i="14"/>
  <c r="BB3" i="14" s="1" a="1"/>
  <c r="L11" i="4"/>
  <c r="M11" i="4" s="1"/>
  <c r="J5" i="14"/>
  <c r="I3" i="14" s="1" a="1"/>
  <c r="AD5" i="14"/>
  <c r="AC3" i="14" s="1" a="1"/>
  <c r="AX5" i="14"/>
  <c r="AW3" i="14" s="1" a="1"/>
  <c r="F78" i="1" l="1" a="1"/>
  <c r="F78" i="1" s="1"/>
  <c r="F79" i="1" s="1" a="1"/>
  <c r="F3" i="1" a="1"/>
  <c r="F3" i="1" s="1"/>
  <c r="F4" i="1" s="1" a="1"/>
  <c r="F8" i="1" a="1"/>
  <c r="F8" i="1" s="1"/>
  <c r="F9" i="1" s="1" a="1"/>
  <c r="F13" i="1" a="1"/>
  <c r="F13" i="1" s="1"/>
  <c r="F14" i="1" s="1" a="1"/>
  <c r="F63" i="1" a="1"/>
  <c r="F63" i="1" s="1"/>
  <c r="F64" i="1" s="1" a="1"/>
  <c r="F23" i="1" a="1"/>
  <c r="F23" i="1" s="1"/>
  <c r="F24" i="1" s="1" a="1"/>
  <c r="I3" i="14"/>
  <c r="F33" i="1" s="1" a="1"/>
  <c r="BB3" i="14"/>
  <c r="AH3" i="14"/>
  <c r="F58" i="1" s="1" a="1"/>
  <c r="S3" i="14"/>
  <c r="F43" i="1" s="1" a="1"/>
  <c r="AR3" i="14"/>
  <c r="F73" i="1" s="1" a="1"/>
  <c r="F18" i="1"/>
  <c r="F19" i="1" s="1" a="1"/>
  <c r="X3" i="14"/>
  <c r="F48" i="1" s="1" a="1"/>
  <c r="AW3" i="14"/>
  <c r="N3" i="14"/>
  <c r="F38" i="1" s="1" a="1"/>
  <c r="AC3" i="14"/>
  <c r="F53" i="1" s="1" a="1"/>
  <c r="AM3" i="14"/>
  <c r="F68" i="1" s="1" a="1"/>
  <c r="D3" i="14"/>
  <c r="F28" i="1" s="1" a="1"/>
  <c r="D96" i="15" a="1"/>
  <c r="D97" i="15" a="1"/>
  <c r="D98" i="15" a="1"/>
  <c r="D93" i="15" a="1"/>
  <c r="D99" i="15" a="1"/>
  <c r="D95" i="15" a="1"/>
  <c r="D94" i="15" a="1"/>
  <c r="D30" i="15" a="1"/>
  <c r="D34" i="15" a="1"/>
  <c r="D31" i="15" a="1"/>
  <c r="D35" i="15" a="1"/>
  <c r="D32" i="15" a="1"/>
  <c r="D36" i="15" a="1"/>
  <c r="D33" i="15" a="1"/>
  <c r="D43" i="15" a="1"/>
  <c r="D42" i="15" a="1"/>
  <c r="D39" i="15" a="1"/>
  <c r="D41" i="15" a="1"/>
  <c r="D40" i="15" a="1"/>
  <c r="D38" i="15" a="1"/>
  <c r="D37" i="15" a="1"/>
  <c r="D120" i="15" a="1"/>
  <c r="D114" i="15" a="1"/>
  <c r="D119" i="15" a="1"/>
  <c r="D118" i="15" a="1"/>
  <c r="D117" i="15" a="1"/>
  <c r="D116" i="15" a="1"/>
  <c r="D115" i="15" a="1"/>
  <c r="D15" i="15" a="1"/>
  <c r="D12" i="15" a="1"/>
  <c r="D14" i="15" a="1"/>
  <c r="D11" i="15" a="1"/>
  <c r="D10" i="15" a="1"/>
  <c r="D13" i="15" a="1"/>
  <c r="D9" i="15" a="1"/>
  <c r="D16" i="15" a="1"/>
  <c r="D20" i="15" a="1"/>
  <c r="D19" i="15" a="1"/>
  <c r="D22" i="15" a="1"/>
  <c r="D18" i="15" a="1"/>
  <c r="D21" i="15" a="1"/>
  <c r="D17" i="15" a="1"/>
  <c r="D28" i="15" a="1"/>
  <c r="D26" i="15" a="1"/>
  <c r="D27" i="15" a="1"/>
  <c r="D24" i="15" a="1"/>
  <c r="D23" i="15" a="1"/>
  <c r="D29" i="15" a="1"/>
  <c r="D25" i="15" a="1"/>
  <c r="F53" i="1" l="1"/>
  <c r="D25" i="15"/>
  <c r="D29" i="15"/>
  <c r="D23" i="15"/>
  <c r="D24" i="15"/>
  <c r="D27" i="15"/>
  <c r="D26" i="15"/>
  <c r="D28" i="15"/>
  <c r="F14" i="1"/>
  <c r="F16" i="1" s="1" a="1"/>
  <c r="F38" i="1"/>
  <c r="F39" i="1" s="1" a="1"/>
  <c r="D17" i="15"/>
  <c r="D21" i="15"/>
  <c r="D18" i="15"/>
  <c r="D22" i="15"/>
  <c r="D19" i="15"/>
  <c r="D20" i="15"/>
  <c r="D16" i="15"/>
  <c r="F9" i="1"/>
  <c r="F10" i="1" s="1" a="1"/>
  <c r="D9" i="15"/>
  <c r="D13" i="15"/>
  <c r="D10" i="15"/>
  <c r="D11" i="15"/>
  <c r="D14" i="15"/>
  <c r="D12" i="15"/>
  <c r="D15" i="15"/>
  <c r="F4" i="1"/>
  <c r="F7" i="1" s="1" a="1"/>
  <c r="F48" i="1"/>
  <c r="F49" i="1" s="1" a="1"/>
  <c r="F73" i="1"/>
  <c r="F74" i="1" s="1" a="1"/>
  <c r="D115" i="15"/>
  <c r="D116" i="15"/>
  <c r="D117" i="15"/>
  <c r="D118" i="15"/>
  <c r="D119" i="15"/>
  <c r="D114" i="15"/>
  <c r="D120" i="15"/>
  <c r="F79" i="1"/>
  <c r="F81" i="1" s="1" a="1"/>
  <c r="F43" i="1"/>
  <c r="F44" i="1" s="1" a="1"/>
  <c r="D37" i="15"/>
  <c r="D38" i="15"/>
  <c r="D40" i="15"/>
  <c r="D41" i="15"/>
  <c r="D39" i="15"/>
  <c r="D42" i="15"/>
  <c r="D43" i="15"/>
  <c r="F24" i="1"/>
  <c r="F27" i="1" s="1" a="1"/>
  <c r="F58" i="1"/>
  <c r="F59" i="1" s="1" a="1"/>
  <c r="F28" i="1"/>
  <c r="F29" i="1" s="1" a="1"/>
  <c r="D33" i="15"/>
  <c r="D36" i="15"/>
  <c r="D32" i="15"/>
  <c r="D35" i="15"/>
  <c r="D31" i="15"/>
  <c r="D34" i="15"/>
  <c r="D30" i="15"/>
  <c r="F19" i="1"/>
  <c r="F21" i="1" s="1" a="1"/>
  <c r="F68" i="1"/>
  <c r="F69" i="1" s="1" a="1"/>
  <c r="D94" i="15"/>
  <c r="D95" i="15"/>
  <c r="D99" i="15"/>
  <c r="D93" i="15"/>
  <c r="D98" i="15"/>
  <c r="D97" i="15"/>
  <c r="D96" i="15"/>
  <c r="F64" i="1"/>
  <c r="F66" i="1" s="1" a="1"/>
  <c r="F33" i="1"/>
  <c r="F34" i="1" s="1" a="1"/>
  <c r="D85" i="15" a="1"/>
  <c r="F54" i="1" a="1"/>
  <c r="D83" i="15" a="1"/>
  <c r="D82" i="15" a="1"/>
  <c r="D81" i="15" a="1"/>
  <c r="D80" i="15" a="1"/>
  <c r="D79" i="15" a="1"/>
  <c r="D84" i="15" a="1"/>
  <c r="F15" i="1" a="1"/>
  <c r="E26" i="15" a="1"/>
  <c r="E29" i="15" a="1"/>
  <c r="E27" i="15" a="1"/>
  <c r="E25" i="15" a="1"/>
  <c r="E23" i="15" a="1"/>
  <c r="E28" i="15" a="1"/>
  <c r="E24" i="15" a="1"/>
  <c r="D57" i="15" a="1"/>
  <c r="D52" i="15" a="1"/>
  <c r="D51" i="15" a="1"/>
  <c r="D56" i="15" a="1"/>
  <c r="D55" i="15" a="1"/>
  <c r="D54" i="15" a="1"/>
  <c r="D53" i="15" a="1"/>
  <c r="D58" i="15" a="1"/>
  <c r="D60" i="15" a="1"/>
  <c r="D64" i="15" a="1"/>
  <c r="D63" i="15" a="1"/>
  <c r="D62" i="15" a="1"/>
  <c r="D61" i="15" a="1"/>
  <c r="D59" i="15" a="1"/>
  <c r="E18" i="15" a="1"/>
  <c r="E22" i="15" a="1"/>
  <c r="E17" i="15" a="1"/>
  <c r="E19" i="15" a="1"/>
  <c r="E21" i="15" a="1"/>
  <c r="E20" i="15" a="1"/>
  <c r="E16" i="15" a="1"/>
  <c r="E13" i="15" a="1"/>
  <c r="E15" i="15" a="1"/>
  <c r="E14" i="15" a="1"/>
  <c r="E11" i="15" a="1"/>
  <c r="E10" i="15" a="1"/>
  <c r="E9" i="15" a="1"/>
  <c r="E12" i="15" a="1"/>
  <c r="D72" i="15" a="1"/>
  <c r="D78" i="15" a="1"/>
  <c r="D76" i="15" a="1"/>
  <c r="D75" i="15" a="1"/>
  <c r="D74" i="15" a="1"/>
  <c r="D73" i="15" a="1"/>
  <c r="D77" i="15" a="1"/>
  <c r="D109" i="15" a="1"/>
  <c r="D108" i="15" a="1"/>
  <c r="D107" i="15" a="1"/>
  <c r="D110" i="15" a="1"/>
  <c r="D113" i="15" a="1"/>
  <c r="D112" i="15" a="1"/>
  <c r="D111" i="15" a="1"/>
  <c r="E120" i="15" a="1"/>
  <c r="E119" i="15" a="1"/>
  <c r="E116" i="15" a="1"/>
  <c r="E115" i="15" a="1"/>
  <c r="E114" i="15" a="1"/>
  <c r="E118" i="15" a="1"/>
  <c r="E117" i="15" a="1"/>
  <c r="D68" i="15" a="1"/>
  <c r="D67" i="15" a="1"/>
  <c r="D66" i="15" a="1"/>
  <c r="D65" i="15" a="1"/>
  <c r="D69" i="15" a="1"/>
  <c r="D71" i="15" a="1"/>
  <c r="D70" i="15" a="1"/>
  <c r="D86" i="15" a="1"/>
  <c r="D92" i="15" a="1"/>
  <c r="D87" i="15" a="1"/>
  <c r="D91" i="15" a="1"/>
  <c r="D90" i="15" a="1"/>
  <c r="D89" i="15" a="1"/>
  <c r="D88" i="15" a="1"/>
  <c r="E34" i="15" a="1"/>
  <c r="E31" i="15" a="1"/>
  <c r="E35" i="15" a="1"/>
  <c r="E33" i="15" a="1"/>
  <c r="E30" i="15" a="1"/>
  <c r="E36" i="15" a="1"/>
  <c r="E32" i="15" a="1"/>
  <c r="E37" i="15" a="1"/>
  <c r="E39" i="15" a="1"/>
  <c r="E40" i="15" a="1"/>
  <c r="E43" i="15" a="1"/>
  <c r="E42" i="15" a="1"/>
  <c r="E41" i="15" a="1"/>
  <c r="E38" i="15" a="1"/>
  <c r="D105" i="15" a="1"/>
  <c r="D104" i="15" a="1"/>
  <c r="D106" i="15" a="1"/>
  <c r="D100" i="15" a="1"/>
  <c r="D101" i="15" a="1"/>
  <c r="D102" i="15" a="1"/>
  <c r="D103" i="15" a="1"/>
  <c r="D44" i="15" a="1"/>
  <c r="D47" i="15" a="1"/>
  <c r="D46" i="15" a="1"/>
  <c r="D45" i="15" a="1"/>
  <c r="D50" i="15" a="1"/>
  <c r="D49" i="15" a="1"/>
  <c r="D48" i="15" a="1"/>
  <c r="E99" i="15" a="1"/>
  <c r="E93" i="15" a="1"/>
  <c r="E97" i="15" a="1"/>
  <c r="E94" i="15" a="1"/>
  <c r="E95" i="15" a="1"/>
  <c r="E96" i="15" a="1"/>
  <c r="E98" i="15" a="1"/>
  <c r="F5" i="1" l="1" a="1"/>
  <c r="F5" i="1" s="1"/>
  <c r="F6" i="1" a="1"/>
  <c r="F6" i="1" s="1"/>
  <c r="F82" i="1" a="1"/>
  <c r="F82" i="1" s="1"/>
  <c r="F80" i="1" a="1"/>
  <c r="F80" i="1" s="1"/>
  <c r="F11" i="1" a="1"/>
  <c r="F11" i="1" s="1"/>
  <c r="F25" i="1" a="1"/>
  <c r="F25" i="1" s="1"/>
  <c r="F12" i="1" a="1"/>
  <c r="F12" i="1" s="1"/>
  <c r="F17" i="1" a="1"/>
  <c r="F17" i="1" s="1"/>
  <c r="F65" i="1" a="1"/>
  <c r="F65" i="1" s="1"/>
  <c r="F26" i="1" a="1"/>
  <c r="F26" i="1" s="1"/>
  <c r="F67" i="1" a="1"/>
  <c r="F67" i="1" s="1"/>
  <c r="F22" i="1" a="1"/>
  <c r="F22" i="1" s="1"/>
  <c r="F20" i="1" a="1"/>
  <c r="F20" i="1" s="1"/>
  <c r="E98" i="15"/>
  <c r="E96" i="15"/>
  <c r="E95" i="15"/>
  <c r="F66" i="1"/>
  <c r="E94" i="15"/>
  <c r="E97" i="15"/>
  <c r="E93" i="15"/>
  <c r="E99" i="15"/>
  <c r="D48" i="15"/>
  <c r="D49" i="15"/>
  <c r="D50" i="15"/>
  <c r="D45" i="15"/>
  <c r="D46" i="15"/>
  <c r="D47" i="15"/>
  <c r="D44" i="15"/>
  <c r="F29" i="1"/>
  <c r="F32" i="1" s="1" a="1"/>
  <c r="D103" i="15"/>
  <c r="D102" i="15"/>
  <c r="D101" i="15"/>
  <c r="D100" i="15"/>
  <c r="D106" i="15"/>
  <c r="F69" i="1"/>
  <c r="F71" i="1" s="1" a="1"/>
  <c r="D104" i="15"/>
  <c r="D105" i="15"/>
  <c r="E38" i="15"/>
  <c r="E41" i="15"/>
  <c r="E42" i="15"/>
  <c r="E43" i="15"/>
  <c r="E40" i="15"/>
  <c r="E39" i="15"/>
  <c r="E37" i="15"/>
  <c r="F27" i="1"/>
  <c r="E32" i="15"/>
  <c r="E36" i="15"/>
  <c r="E30" i="15"/>
  <c r="E33" i="15"/>
  <c r="E35" i="15"/>
  <c r="E31" i="15"/>
  <c r="E34" i="15"/>
  <c r="F21" i="1"/>
  <c r="D88" i="15"/>
  <c r="D89" i="15"/>
  <c r="D90" i="15"/>
  <c r="D91" i="15"/>
  <c r="D87" i="15"/>
  <c r="D92" i="15"/>
  <c r="F59" i="1"/>
  <c r="F61" i="1" s="1" a="1"/>
  <c r="D86" i="15"/>
  <c r="D70" i="15"/>
  <c r="D71" i="15"/>
  <c r="D69" i="15"/>
  <c r="D65" i="15"/>
  <c r="D66" i="15"/>
  <c r="D67" i="15"/>
  <c r="D68" i="15"/>
  <c r="F44" i="1"/>
  <c r="F46" i="1" s="1" a="1"/>
  <c r="E117" i="15"/>
  <c r="E118" i="15"/>
  <c r="E114" i="15"/>
  <c r="E115" i="15"/>
  <c r="E116" i="15"/>
  <c r="E119" i="15"/>
  <c r="F81" i="1"/>
  <c r="E120" i="15"/>
  <c r="D111" i="15"/>
  <c r="D112" i="15"/>
  <c r="D113" i="15"/>
  <c r="D110" i="15"/>
  <c r="D107" i="15"/>
  <c r="D108" i="15"/>
  <c r="D109" i="15"/>
  <c r="F74" i="1"/>
  <c r="F76" i="1" s="1" a="1"/>
  <c r="D77" i="15"/>
  <c r="D73" i="15"/>
  <c r="D74" i="15"/>
  <c r="D75" i="15"/>
  <c r="D76" i="15"/>
  <c r="D78" i="15"/>
  <c r="D72" i="15"/>
  <c r="F49" i="1"/>
  <c r="F52" i="1" s="1" a="1"/>
  <c r="E12" i="15"/>
  <c r="E9" i="15"/>
  <c r="E10" i="15"/>
  <c r="E11" i="15"/>
  <c r="E14" i="15"/>
  <c r="E15" i="15"/>
  <c r="E13" i="15"/>
  <c r="F7" i="1"/>
  <c r="E16" i="15"/>
  <c r="E20" i="15"/>
  <c r="E21" i="15"/>
  <c r="E19" i="15"/>
  <c r="E17" i="15"/>
  <c r="E22" i="15"/>
  <c r="E18" i="15"/>
  <c r="F10" i="1"/>
  <c r="D59" i="15"/>
  <c r="D61" i="15"/>
  <c r="D62" i="15"/>
  <c r="D63" i="15"/>
  <c r="D64" i="15"/>
  <c r="F39" i="1"/>
  <c r="F42" i="1" s="1" a="1"/>
  <c r="D60" i="15"/>
  <c r="D58" i="15"/>
  <c r="D53" i="15"/>
  <c r="D54" i="15"/>
  <c r="D55" i="15"/>
  <c r="D56" i="15"/>
  <c r="D51" i="15"/>
  <c r="D52" i="15"/>
  <c r="F34" i="1"/>
  <c r="F36" i="1" s="1" a="1"/>
  <c r="D57" i="15"/>
  <c r="E24" i="15"/>
  <c r="E28" i="15"/>
  <c r="E23" i="15"/>
  <c r="E25" i="15"/>
  <c r="E27" i="15"/>
  <c r="E29" i="15"/>
  <c r="E26" i="15"/>
  <c r="F16" i="1"/>
  <c r="F15" i="1"/>
  <c r="D84" i="15"/>
  <c r="D79" i="15"/>
  <c r="D80" i="15"/>
  <c r="D81" i="15"/>
  <c r="D82" i="15"/>
  <c r="D83" i="15"/>
  <c r="F54" i="1"/>
  <c r="F57" i="1" s="1" a="1"/>
  <c r="D85" i="15"/>
  <c r="F120" i="15" a="1"/>
  <c r="F119" i="15" a="1"/>
  <c r="F115" i="15" a="1"/>
  <c r="F114" i="15" a="1"/>
  <c r="F118" i="15" a="1"/>
  <c r="F116" i="15" a="1"/>
  <c r="F117" i="15" a="1"/>
  <c r="F14" i="15" a="1"/>
  <c r="F13" i="15" a="1"/>
  <c r="F12" i="15" a="1"/>
  <c r="F10" i="15" a="1"/>
  <c r="F9" i="15" a="1"/>
  <c r="F15" i="15" a="1"/>
  <c r="F11" i="15" a="1"/>
  <c r="E51" i="15" a="1"/>
  <c r="E55" i="15" a="1"/>
  <c r="E54" i="15" a="1"/>
  <c r="E53" i="15" a="1"/>
  <c r="E52" i="15" a="1"/>
  <c r="E56" i="15" a="1"/>
  <c r="E57" i="15" a="1"/>
  <c r="H40" i="15" a="1"/>
  <c r="H43" i="15" a="1"/>
  <c r="H42" i="15" a="1"/>
  <c r="H41" i="15" a="1"/>
  <c r="H37" i="15" a="1"/>
  <c r="H38" i="15" a="1"/>
  <c r="H39" i="15" a="1"/>
  <c r="F18" i="15" a="1"/>
  <c r="F22" i="15" a="1"/>
  <c r="F20" i="15" a="1"/>
  <c r="F17" i="15" a="1"/>
  <c r="F21" i="15" a="1"/>
  <c r="F16" i="15" a="1"/>
  <c r="F19" i="15" a="1"/>
  <c r="G29" i="15" a="1"/>
  <c r="G24" i="15" a="1"/>
  <c r="G27" i="15" a="1"/>
  <c r="G25" i="15" a="1"/>
  <c r="G23" i="15" a="1"/>
  <c r="G28" i="15" a="1"/>
  <c r="G26" i="15" a="1"/>
  <c r="G35" i="15" a="1"/>
  <c r="G32" i="15" a="1"/>
  <c r="G36" i="15" a="1"/>
  <c r="G33" i="15" a="1"/>
  <c r="G31" i="15" a="1"/>
  <c r="G34" i="15" a="1"/>
  <c r="G30" i="15" a="1"/>
  <c r="E84" i="15" a="1"/>
  <c r="E83" i="15" a="1"/>
  <c r="E80" i="15" a="1"/>
  <c r="E79" i="15" a="1"/>
  <c r="E85" i="15" a="1"/>
  <c r="E82" i="15" a="1"/>
  <c r="E81" i="15" a="1"/>
  <c r="E66" i="15" a="1"/>
  <c r="E65" i="15" a="1"/>
  <c r="E71" i="15" a="1"/>
  <c r="E70" i="15" a="1"/>
  <c r="E69" i="15" a="1"/>
  <c r="E68" i="15" a="1"/>
  <c r="E67" i="15" a="1"/>
  <c r="F28" i="15" a="1"/>
  <c r="F26" i="15" a="1"/>
  <c r="F29" i="15" a="1"/>
  <c r="F24" i="15" a="1"/>
  <c r="F25" i="15" a="1"/>
  <c r="F27" i="15" a="1"/>
  <c r="F23" i="15" a="1"/>
  <c r="F96" i="15" a="1"/>
  <c r="F94" i="15" a="1"/>
  <c r="F98" i="15" a="1"/>
  <c r="F99" i="15" a="1"/>
  <c r="F93" i="15" a="1"/>
  <c r="F95" i="15" a="1"/>
  <c r="F97" i="15" a="1"/>
  <c r="E108" i="15" a="1"/>
  <c r="E107" i="15" a="1"/>
  <c r="E109" i="15" a="1"/>
  <c r="E112" i="15" a="1"/>
  <c r="E111" i="15" a="1"/>
  <c r="E110" i="15" a="1"/>
  <c r="E113" i="15" a="1"/>
  <c r="H12" i="15" a="1"/>
  <c r="H11" i="15" a="1"/>
  <c r="H10" i="15" a="1"/>
  <c r="H15" i="15" a="1"/>
  <c r="H14" i="15" a="1"/>
  <c r="H13" i="15" a="1"/>
  <c r="H9" i="15" a="1"/>
  <c r="E47" i="15" a="1"/>
  <c r="E50" i="15" a="1"/>
  <c r="E49" i="15" a="1"/>
  <c r="E48" i="15" a="1"/>
  <c r="E45" i="15" a="1"/>
  <c r="E44" i="15" a="1"/>
  <c r="E46" i="15" a="1"/>
  <c r="F38" i="15" a="1"/>
  <c r="F39" i="15" a="1"/>
  <c r="F40" i="15" a="1"/>
  <c r="F42" i="15" a="1"/>
  <c r="F41" i="15" a="1"/>
  <c r="F43" i="15" a="1"/>
  <c r="F37" i="15" a="1"/>
  <c r="G15" i="15" a="1"/>
  <c r="G9" i="15" a="1"/>
  <c r="G13" i="15" a="1"/>
  <c r="G12" i="15" a="1"/>
  <c r="G11" i="15" a="1"/>
  <c r="G14" i="15" a="1"/>
  <c r="G10" i="15" a="1"/>
  <c r="G20" i="15" a="1"/>
  <c r="G21" i="15" a="1"/>
  <c r="G19" i="15" a="1"/>
  <c r="G17" i="15" a="1"/>
  <c r="G16" i="15" a="1"/>
  <c r="G22" i="15" a="1"/>
  <c r="G18" i="15" a="1"/>
  <c r="E62" i="15" a="1"/>
  <c r="E61" i="15" a="1"/>
  <c r="E60" i="15" a="1"/>
  <c r="E64" i="15" a="1"/>
  <c r="E63" i="15" a="1"/>
  <c r="E59" i="15" a="1"/>
  <c r="E58" i="15" a="1"/>
  <c r="G39" i="15" a="1"/>
  <c r="G40" i="15" a="1"/>
  <c r="G43" i="15" a="1"/>
  <c r="G37" i="15" a="1"/>
  <c r="G38" i="15" a="1"/>
  <c r="G42" i="15" a="1"/>
  <c r="G41" i="15" a="1"/>
  <c r="H22" i="15" a="1"/>
  <c r="H20" i="15" a="1"/>
  <c r="H19" i="15" a="1"/>
  <c r="H18" i="15" a="1"/>
  <c r="H16" i="15" a="1"/>
  <c r="H21" i="15" a="1"/>
  <c r="H17" i="15" a="1"/>
  <c r="G97" i="15" a="1"/>
  <c r="G98" i="15" a="1"/>
  <c r="G99" i="15" a="1"/>
  <c r="G95" i="15" a="1"/>
  <c r="G94" i="15" a="1"/>
  <c r="G93" i="15" a="1"/>
  <c r="G96" i="15" a="1"/>
  <c r="F32" i="15" a="1"/>
  <c r="F36" i="15" a="1"/>
  <c r="F33" i="15" a="1"/>
  <c r="F30" i="15" a="1"/>
  <c r="F34" i="15" a="1"/>
  <c r="F35" i="15" a="1"/>
  <c r="F31" i="15" a="1"/>
  <c r="H97" i="15" a="1"/>
  <c r="H98" i="15" a="1"/>
  <c r="H93" i="15" a="1"/>
  <c r="H96" i="15" a="1"/>
  <c r="H94" i="15" a="1"/>
  <c r="H99" i="15" a="1"/>
  <c r="H95" i="15" a="1"/>
  <c r="E90" i="15" a="1"/>
  <c r="E89" i="15" a="1"/>
  <c r="E91" i="15" a="1"/>
  <c r="E88" i="15" a="1"/>
  <c r="E87" i="15" a="1"/>
  <c r="E86" i="15" a="1"/>
  <c r="E92" i="15" a="1"/>
  <c r="H26" i="15" a="1"/>
  <c r="H24" i="15" a="1"/>
  <c r="H27" i="15" a="1"/>
  <c r="H23" i="15" a="1"/>
  <c r="H28" i="15" a="1"/>
  <c r="H29" i="15" a="1"/>
  <c r="H25" i="15" a="1"/>
  <c r="H32" i="15" a="1"/>
  <c r="H36" i="15" a="1"/>
  <c r="H30" i="15" a="1"/>
  <c r="H34" i="15" a="1"/>
  <c r="H31" i="15" a="1"/>
  <c r="H35" i="15" a="1"/>
  <c r="H33" i="15" a="1"/>
  <c r="G120" i="15" a="1"/>
  <c r="G119" i="15" a="1"/>
  <c r="G114" i="15" a="1"/>
  <c r="G118" i="15" a="1"/>
  <c r="G115" i="15" a="1"/>
  <c r="G117" i="15" a="1"/>
  <c r="G116" i="15" a="1"/>
  <c r="F70" i="1" a="1"/>
  <c r="E105" i="15" a="1"/>
  <c r="E106" i="15" a="1"/>
  <c r="E100" i="15" a="1"/>
  <c r="E101" i="15" a="1"/>
  <c r="E104" i="15" a="1"/>
  <c r="E103" i="15" a="1"/>
  <c r="E102" i="15" a="1"/>
  <c r="H119" i="15" a="1"/>
  <c r="H118" i="15" a="1"/>
  <c r="H114" i="15" a="1"/>
  <c r="H117" i="15" a="1"/>
  <c r="H116" i="15" a="1"/>
  <c r="H115" i="15" a="1"/>
  <c r="H120" i="15" a="1"/>
  <c r="E75" i="15" a="1"/>
  <c r="E74" i="15" a="1"/>
  <c r="E73" i="15" a="1"/>
  <c r="E72" i="15" a="1"/>
  <c r="E78" i="15" a="1"/>
  <c r="E77" i="15" a="1"/>
  <c r="E76" i="15" a="1"/>
  <c r="F62" i="1" l="1" a="1"/>
  <c r="F62" i="1" s="1"/>
  <c r="F75" i="1" a="1"/>
  <c r="F50" i="1" a="1"/>
  <c r="F50" i="1" s="1"/>
  <c r="F77" i="1" a="1"/>
  <c r="F51" i="1" a="1"/>
  <c r="F51" i="1" s="1"/>
  <c r="F72" i="1" a="1"/>
  <c r="F72" i="1" s="1"/>
  <c r="F47" i="1" a="1"/>
  <c r="F47" i="1" s="1"/>
  <c r="F45" i="1" a="1"/>
  <c r="F45" i="1" s="1"/>
  <c r="F37" i="1" a="1"/>
  <c r="F37" i="1" s="1"/>
  <c r="F41" i="1" a="1"/>
  <c r="F41" i="1" s="1"/>
  <c r="F30" i="1" a="1"/>
  <c r="F30" i="1" s="1"/>
  <c r="F60" i="1" a="1"/>
  <c r="F60" i="1" s="1"/>
  <c r="F56" i="1" a="1"/>
  <c r="F56" i="1" s="1"/>
  <c r="F40" i="1" a="1"/>
  <c r="F40" i="1" s="1"/>
  <c r="F31" i="1" a="1"/>
  <c r="F31" i="1" s="1"/>
  <c r="F35" i="1" a="1"/>
  <c r="F35" i="1" s="1"/>
  <c r="F55" i="1" a="1"/>
  <c r="F55" i="1" s="1"/>
  <c r="E76" i="15"/>
  <c r="E77" i="15"/>
  <c r="E78" i="15"/>
  <c r="E72" i="15"/>
  <c r="E73" i="15"/>
  <c r="E74" i="15"/>
  <c r="E75" i="15"/>
  <c r="F52" i="1"/>
  <c r="H120" i="15"/>
  <c r="H115" i="15"/>
  <c r="H116" i="15"/>
  <c r="H117" i="15"/>
  <c r="H114" i="15"/>
  <c r="H118" i="15"/>
  <c r="H119" i="15"/>
  <c r="E102" i="15"/>
  <c r="E103" i="15"/>
  <c r="E104" i="15"/>
  <c r="F71" i="1"/>
  <c r="E101" i="15"/>
  <c r="E100" i="15"/>
  <c r="E106" i="15"/>
  <c r="E105" i="15"/>
  <c r="F70" i="1"/>
  <c r="G116" i="15"/>
  <c r="G117" i="15"/>
  <c r="G115" i="15"/>
  <c r="G118" i="15"/>
  <c r="G114" i="15"/>
  <c r="G119" i="15"/>
  <c r="G120" i="15"/>
  <c r="H33" i="15"/>
  <c r="H35" i="15"/>
  <c r="H31" i="15"/>
  <c r="H34" i="15"/>
  <c r="H30" i="15"/>
  <c r="H36" i="15"/>
  <c r="H32" i="15"/>
  <c r="H25" i="15"/>
  <c r="H29" i="15"/>
  <c r="H28" i="15"/>
  <c r="H23" i="15"/>
  <c r="H27" i="15"/>
  <c r="H24" i="15"/>
  <c r="H26" i="15"/>
  <c r="E92" i="15"/>
  <c r="E86" i="15"/>
  <c r="E87" i="15"/>
  <c r="E88" i="15"/>
  <c r="E91" i="15"/>
  <c r="E89" i="15"/>
  <c r="E90" i="15"/>
  <c r="F61" i="1"/>
  <c r="H95" i="15"/>
  <c r="H99" i="15"/>
  <c r="H94" i="15"/>
  <c r="H96" i="15"/>
  <c r="H93" i="15"/>
  <c r="H98" i="15"/>
  <c r="H97" i="15"/>
  <c r="F31" i="15"/>
  <c r="F35" i="15"/>
  <c r="F34" i="15"/>
  <c r="F30" i="15"/>
  <c r="F33" i="15"/>
  <c r="F36" i="15"/>
  <c r="F32" i="15"/>
  <c r="G96" i="15"/>
  <c r="G93" i="15"/>
  <c r="G94" i="15"/>
  <c r="G95" i="15"/>
  <c r="G99" i="15"/>
  <c r="G98" i="15"/>
  <c r="G97" i="15"/>
  <c r="H17" i="15"/>
  <c r="H21" i="15"/>
  <c r="H16" i="15"/>
  <c r="H18" i="15"/>
  <c r="H19" i="15"/>
  <c r="H20" i="15"/>
  <c r="H22" i="15"/>
  <c r="G41" i="15"/>
  <c r="G42" i="15"/>
  <c r="G38" i="15"/>
  <c r="G37" i="15"/>
  <c r="G43" i="15"/>
  <c r="G40" i="15"/>
  <c r="G39" i="15"/>
  <c r="E58" i="15"/>
  <c r="E59" i="15"/>
  <c r="E63" i="15"/>
  <c r="E64" i="15"/>
  <c r="E60" i="15"/>
  <c r="E61" i="15"/>
  <c r="F42" i="1"/>
  <c r="E62" i="15"/>
  <c r="G18" i="15"/>
  <c r="G22" i="15"/>
  <c r="G16" i="15"/>
  <c r="G17" i="15"/>
  <c r="G19" i="15"/>
  <c r="G21" i="15"/>
  <c r="G20" i="15"/>
  <c r="G10" i="15"/>
  <c r="G14" i="15"/>
  <c r="G11" i="15"/>
  <c r="G12" i="15"/>
  <c r="G13" i="15"/>
  <c r="G9" i="15"/>
  <c r="G15" i="15"/>
  <c r="F37" i="15"/>
  <c r="F43" i="15"/>
  <c r="F41" i="15"/>
  <c r="F42" i="15"/>
  <c r="F40" i="15"/>
  <c r="F39" i="15"/>
  <c r="F38" i="15"/>
  <c r="E46" i="15"/>
  <c r="E44" i="15"/>
  <c r="E45" i="15"/>
  <c r="E48" i="15"/>
  <c r="E49" i="15"/>
  <c r="E50" i="15"/>
  <c r="E47" i="15"/>
  <c r="F32" i="1"/>
  <c r="H9" i="15"/>
  <c r="H13" i="15"/>
  <c r="H14" i="15"/>
  <c r="H15" i="15"/>
  <c r="H10" i="15"/>
  <c r="H11" i="15"/>
  <c r="H12" i="15"/>
  <c r="F75" i="1"/>
  <c r="F76" i="1"/>
  <c r="E113" i="15"/>
  <c r="F77" i="1"/>
  <c r="E110" i="15"/>
  <c r="E111" i="15"/>
  <c r="E112" i="15"/>
  <c r="E109" i="15"/>
  <c r="E107" i="15"/>
  <c r="E108" i="15"/>
  <c r="F97" i="15"/>
  <c r="F95" i="15"/>
  <c r="F93" i="15"/>
  <c r="F99" i="15"/>
  <c r="F98" i="15"/>
  <c r="F94" i="15"/>
  <c r="F96" i="15"/>
  <c r="F23" i="15"/>
  <c r="F27" i="15"/>
  <c r="F25" i="15"/>
  <c r="F24" i="15"/>
  <c r="F29" i="15"/>
  <c r="F26" i="15"/>
  <c r="F28" i="15"/>
  <c r="E67" i="15"/>
  <c r="E68" i="15"/>
  <c r="E69" i="15"/>
  <c r="E70" i="15"/>
  <c r="E71" i="15"/>
  <c r="E65" i="15"/>
  <c r="F46" i="1"/>
  <c r="E66" i="15"/>
  <c r="E81" i="15"/>
  <c r="E82" i="15"/>
  <c r="E85" i="15"/>
  <c r="E79" i="15"/>
  <c r="E80" i="15"/>
  <c r="E83" i="15"/>
  <c r="F57" i="1"/>
  <c r="E84" i="15"/>
  <c r="G30" i="15"/>
  <c r="G34" i="15"/>
  <c r="G31" i="15"/>
  <c r="G33" i="15"/>
  <c r="G36" i="15"/>
  <c r="G32" i="15"/>
  <c r="G35" i="15"/>
  <c r="G26" i="15"/>
  <c r="G28" i="15"/>
  <c r="G23" i="15"/>
  <c r="G25" i="15"/>
  <c r="G27" i="15"/>
  <c r="G24" i="15"/>
  <c r="G29" i="15"/>
  <c r="F19" i="15"/>
  <c r="F16" i="15"/>
  <c r="F21" i="15"/>
  <c r="F17" i="15"/>
  <c r="F20" i="15"/>
  <c r="F22" i="15"/>
  <c r="F18" i="15"/>
  <c r="H39" i="15"/>
  <c r="H38" i="15"/>
  <c r="H37" i="15"/>
  <c r="H41" i="15"/>
  <c r="H42" i="15"/>
  <c r="H43" i="15"/>
  <c r="H40" i="15"/>
  <c r="E57" i="15"/>
  <c r="E56" i="15"/>
  <c r="E52" i="15"/>
  <c r="E53" i="15"/>
  <c r="E54" i="15"/>
  <c r="E55" i="15"/>
  <c r="E51" i="15"/>
  <c r="F36" i="1"/>
  <c r="F11" i="15"/>
  <c r="F15" i="15"/>
  <c r="F9" i="15"/>
  <c r="F10" i="15"/>
  <c r="F12" i="15"/>
  <c r="F13" i="15"/>
  <c r="F14" i="15"/>
  <c r="F117" i="15"/>
  <c r="F116" i="15"/>
  <c r="F118" i="15"/>
  <c r="F114" i="15"/>
  <c r="F115" i="15"/>
  <c r="F119" i="15"/>
  <c r="F120" i="15"/>
  <c r="F78" i="15" a="1"/>
  <c r="F75" i="15" a="1"/>
  <c r="F77" i="15" a="1"/>
  <c r="F74" i="15" a="1"/>
  <c r="F73" i="15" a="1"/>
  <c r="F72" i="15" a="1"/>
  <c r="F76" i="15" a="1"/>
  <c r="F92" i="15" a="1"/>
  <c r="F87" i="15" a="1"/>
  <c r="F91" i="15" a="1"/>
  <c r="F89" i="15" a="1"/>
  <c r="F88" i="15" a="1"/>
  <c r="F86" i="15" a="1"/>
  <c r="F90" i="15" a="1"/>
  <c r="H109" i="15" a="1"/>
  <c r="H108" i="15" a="1"/>
  <c r="H107" i="15" a="1"/>
  <c r="H110" i="15" a="1"/>
  <c r="H113" i="15" a="1"/>
  <c r="H112" i="15" a="1"/>
  <c r="H111" i="15" a="1"/>
  <c r="G80" i="15" a="1"/>
  <c r="G79" i="15" a="1"/>
  <c r="G85" i="15" a="1"/>
  <c r="G84" i="15" a="1"/>
  <c r="G83" i="15" a="1"/>
  <c r="G82" i="15" a="1"/>
  <c r="G81" i="15" a="1"/>
  <c r="G70" i="15" a="1"/>
  <c r="G71" i="15" a="1"/>
  <c r="G65" i="15" a="1"/>
  <c r="G69" i="15" a="1"/>
  <c r="G68" i="15" a="1"/>
  <c r="G67" i="15" a="1"/>
  <c r="G66" i="15" a="1"/>
  <c r="G57" i="15" a="1"/>
  <c r="G56" i="15" a="1"/>
  <c r="G55" i="15" a="1"/>
  <c r="G54" i="15" a="1"/>
  <c r="G51" i="15" a="1"/>
  <c r="G53" i="15" a="1"/>
  <c r="G52" i="15" a="1"/>
  <c r="G78" i="15" a="1"/>
  <c r="G72" i="15" a="1"/>
  <c r="G77" i="15" a="1"/>
  <c r="G76" i="15" a="1"/>
  <c r="G75" i="15" a="1"/>
  <c r="G74" i="15" a="1"/>
  <c r="G73" i="15" a="1"/>
  <c r="G90" i="15" a="1"/>
  <c r="G92" i="15" a="1"/>
  <c r="G89" i="15" a="1"/>
  <c r="G86" i="15" a="1"/>
  <c r="G91" i="15" a="1"/>
  <c r="G88" i="15" a="1"/>
  <c r="G87" i="15" a="1"/>
  <c r="H102" i="15" a="1"/>
  <c r="H105" i="15" a="1"/>
  <c r="H104" i="15" a="1"/>
  <c r="H103" i="15" a="1"/>
  <c r="H106" i="15" a="1"/>
  <c r="H100" i="15" a="1"/>
  <c r="H101" i="15" a="1"/>
  <c r="H84" i="15" a="1"/>
  <c r="H83" i="15" a="1"/>
  <c r="H82" i="15" a="1"/>
  <c r="H81" i="15" a="1"/>
  <c r="H80" i="15" a="1"/>
  <c r="H79" i="15" a="1"/>
  <c r="H85" i="15" a="1"/>
  <c r="H68" i="15" a="1"/>
  <c r="H67" i="15" a="1"/>
  <c r="H66" i="15" a="1"/>
  <c r="H65" i="15" a="1"/>
  <c r="H70" i="15" a="1"/>
  <c r="H69" i="15" a="1"/>
  <c r="H71" i="15" a="1"/>
  <c r="F100" i="15" a="1"/>
  <c r="F102" i="15" a="1"/>
  <c r="F103" i="15" a="1"/>
  <c r="F104" i="15" a="1"/>
  <c r="F106" i="15" a="1"/>
  <c r="F105" i="15" a="1"/>
  <c r="F101" i="15" a="1"/>
  <c r="F58" i="15" a="1"/>
  <c r="F62" i="15" a="1"/>
  <c r="F61" i="15" a="1"/>
  <c r="F60" i="15" a="1"/>
  <c r="F59" i="15" a="1"/>
  <c r="F64" i="15" a="1"/>
  <c r="F63" i="15" a="1"/>
  <c r="F66" i="15" a="1"/>
  <c r="F70" i="15" a="1"/>
  <c r="F69" i="15" a="1"/>
  <c r="F68" i="15" a="1"/>
  <c r="F67" i="15" a="1"/>
  <c r="F71" i="15" a="1"/>
  <c r="F65" i="15" a="1"/>
  <c r="F108" i="15" a="1"/>
  <c r="F111" i="15" a="1"/>
  <c r="F110" i="15" a="1"/>
  <c r="F109" i="15" a="1"/>
  <c r="F112" i="15" a="1"/>
  <c r="F113" i="15" a="1"/>
  <c r="F107" i="15" a="1"/>
  <c r="G111" i="15" a="1"/>
  <c r="G113" i="15" a="1"/>
  <c r="G112" i="15" a="1"/>
  <c r="G107" i="15" a="1"/>
  <c r="G110" i="15" a="1"/>
  <c r="G109" i="15" a="1"/>
  <c r="G108" i="15" a="1"/>
  <c r="H56" i="15" a="1"/>
  <c r="H52" i="15" a="1"/>
  <c r="H51" i="15" a="1"/>
  <c r="H55" i="15" a="1"/>
  <c r="H54" i="15" a="1"/>
  <c r="H53" i="15" a="1"/>
  <c r="H57" i="15" a="1"/>
  <c r="G61" i="15" a="1"/>
  <c r="G60" i="15" a="1"/>
  <c r="G59" i="15" a="1"/>
  <c r="G58" i="15" a="1"/>
  <c r="G62" i="15" a="1"/>
  <c r="G64" i="15" a="1"/>
  <c r="G63" i="15" a="1"/>
  <c r="F46" i="15" a="1"/>
  <c r="F45" i="15" a="1"/>
  <c r="F50" i="15" a="1"/>
  <c r="F49" i="15" a="1"/>
  <c r="F48" i="15" a="1"/>
  <c r="F47" i="15" a="1"/>
  <c r="F44" i="15" a="1"/>
  <c r="F53" i="15" a="1"/>
  <c r="F52" i="15" a="1"/>
  <c r="F51" i="15" a="1"/>
  <c r="F57" i="15" a="1"/>
  <c r="F56" i="15" a="1"/>
  <c r="F55" i="15" a="1"/>
  <c r="F54" i="15" a="1"/>
  <c r="G101" i="15" a="1"/>
  <c r="G102" i="15" a="1"/>
  <c r="G103" i="15" a="1"/>
  <c r="G106" i="15" a="1"/>
  <c r="G105" i="15" a="1"/>
  <c r="G104" i="15" a="1"/>
  <c r="G100" i="15" a="1"/>
  <c r="G45" i="15" a="1"/>
  <c r="G44" i="15" a="1"/>
  <c r="G49" i="15" a="1"/>
  <c r="G48" i="15" a="1"/>
  <c r="G47" i="15" a="1"/>
  <c r="G46" i="15" a="1"/>
  <c r="G50" i="15" a="1"/>
  <c r="H64" i="15" a="1"/>
  <c r="H63" i="15" a="1"/>
  <c r="H62" i="15" a="1"/>
  <c r="H59" i="15" a="1"/>
  <c r="H58" i="15" a="1"/>
  <c r="H61" i="15" a="1"/>
  <c r="H60" i="15" a="1"/>
  <c r="H44" i="15" a="1"/>
  <c r="H48" i="15" a="1"/>
  <c r="H47" i="15" a="1"/>
  <c r="H46" i="15" a="1"/>
  <c r="H45" i="15" a="1"/>
  <c r="H49" i="15" a="1"/>
  <c r="H50" i="15" a="1"/>
  <c r="H87" i="15" a="1"/>
  <c r="H86" i="15" a="1"/>
  <c r="H88" i="15" a="1"/>
  <c r="H92" i="15" a="1"/>
  <c r="H91" i="15" a="1"/>
  <c r="H90" i="15" a="1"/>
  <c r="H89" i="15" a="1"/>
  <c r="H74" i="15" a="1"/>
  <c r="H77" i="15" a="1"/>
  <c r="H73" i="15" a="1"/>
  <c r="H76" i="15" a="1"/>
  <c r="H75" i="15" a="1"/>
  <c r="H78" i="15" a="1"/>
  <c r="H72" i="15" a="1"/>
  <c r="F82" i="15" a="1"/>
  <c r="F81" i="15" a="1"/>
  <c r="F80" i="15" a="1"/>
  <c r="F85" i="15" a="1"/>
  <c r="F84" i="15" a="1"/>
  <c r="F83" i="15" a="1"/>
  <c r="F79" i="15" a="1"/>
  <c r="F79" i="15" l="1"/>
  <c r="F83" i="15"/>
  <c r="F84" i="15"/>
  <c r="F85" i="15"/>
  <c r="F80" i="15"/>
  <c r="F81" i="15"/>
  <c r="F82" i="15"/>
  <c r="H72" i="15"/>
  <c r="H78" i="15"/>
  <c r="H75" i="15"/>
  <c r="H76" i="15"/>
  <c r="H73" i="15"/>
  <c r="H77" i="15"/>
  <c r="H74" i="15"/>
  <c r="H89" i="15"/>
  <c r="H90" i="15"/>
  <c r="H91" i="15"/>
  <c r="H92" i="15"/>
  <c r="H88" i="15"/>
  <c r="H86" i="15"/>
  <c r="H87" i="15"/>
  <c r="H50" i="15"/>
  <c r="H49" i="15"/>
  <c r="H45" i="15"/>
  <c r="H46" i="15"/>
  <c r="H47" i="15"/>
  <c r="H48" i="15"/>
  <c r="H44" i="15"/>
  <c r="H60" i="15"/>
  <c r="H61" i="15"/>
  <c r="H58" i="15"/>
  <c r="H59" i="15"/>
  <c r="H62" i="15"/>
  <c r="H63" i="15"/>
  <c r="H64" i="15"/>
  <c r="G50" i="15"/>
  <c r="G46" i="15"/>
  <c r="G47" i="15"/>
  <c r="G48" i="15"/>
  <c r="G49" i="15"/>
  <c r="G44" i="15"/>
  <c r="G45" i="15"/>
  <c r="G100" i="15"/>
  <c r="G104" i="15"/>
  <c r="G105" i="15"/>
  <c r="G106" i="15"/>
  <c r="G103" i="15"/>
  <c r="G102" i="15"/>
  <c r="G101" i="15"/>
  <c r="F54" i="15"/>
  <c r="F55" i="15"/>
  <c r="F56" i="15"/>
  <c r="F57" i="15"/>
  <c r="F51" i="15"/>
  <c r="F52" i="15"/>
  <c r="F53" i="15"/>
  <c r="F44" i="15"/>
  <c r="F47" i="15"/>
  <c r="F48" i="15"/>
  <c r="F49" i="15"/>
  <c r="F50" i="15"/>
  <c r="F45" i="15"/>
  <c r="F46" i="15"/>
  <c r="G63" i="15"/>
  <c r="G64" i="15"/>
  <c r="G62" i="15"/>
  <c r="G58" i="15"/>
  <c r="G59" i="15"/>
  <c r="G60" i="15"/>
  <c r="G61" i="15"/>
  <c r="H57" i="15"/>
  <c r="H53" i="15"/>
  <c r="H54" i="15"/>
  <c r="H55" i="15"/>
  <c r="H51" i="15"/>
  <c r="H52" i="15"/>
  <c r="H56" i="15"/>
  <c r="G108" i="15"/>
  <c r="G109" i="15"/>
  <c r="G110" i="15"/>
  <c r="G107" i="15"/>
  <c r="G112" i="15"/>
  <c r="G113" i="15"/>
  <c r="G111" i="15"/>
  <c r="F107" i="15"/>
  <c r="F113" i="15"/>
  <c r="F112" i="15"/>
  <c r="F109" i="15"/>
  <c r="F110" i="15"/>
  <c r="F111" i="15"/>
  <c r="F108" i="15"/>
  <c r="F65" i="15"/>
  <c r="F71" i="15"/>
  <c r="F67" i="15"/>
  <c r="F68" i="15"/>
  <c r="F69" i="15"/>
  <c r="F70" i="15"/>
  <c r="F66" i="15"/>
  <c r="F63" i="15"/>
  <c r="F64" i="15"/>
  <c r="F59" i="15"/>
  <c r="F60" i="15"/>
  <c r="F61" i="15"/>
  <c r="F62" i="15"/>
  <c r="F58" i="15"/>
  <c r="F101" i="15"/>
  <c r="F105" i="15"/>
  <c r="F106" i="15"/>
  <c r="F104" i="15"/>
  <c r="F103" i="15"/>
  <c r="F102" i="15"/>
  <c r="F100" i="15"/>
  <c r="H71" i="15"/>
  <c r="H69" i="15"/>
  <c r="H70" i="15"/>
  <c r="H65" i="15"/>
  <c r="H66" i="15"/>
  <c r="H67" i="15"/>
  <c r="H68" i="15"/>
  <c r="H85" i="15"/>
  <c r="H79" i="15"/>
  <c r="H80" i="15"/>
  <c r="H81" i="15"/>
  <c r="H82" i="15"/>
  <c r="H83" i="15"/>
  <c r="H84" i="15"/>
  <c r="H101" i="15"/>
  <c r="H100" i="15"/>
  <c r="H106" i="15"/>
  <c r="H103" i="15"/>
  <c r="H104" i="15"/>
  <c r="H105" i="15"/>
  <c r="H102" i="15"/>
  <c r="G87" i="15"/>
  <c r="G88" i="15"/>
  <c r="G91" i="15"/>
  <c r="G86" i="15"/>
  <c r="G89" i="15"/>
  <c r="G92" i="15"/>
  <c r="G90" i="15"/>
  <c r="G73" i="15"/>
  <c r="G74" i="15"/>
  <c r="G75" i="15"/>
  <c r="G76" i="15"/>
  <c r="G77" i="15"/>
  <c r="G72" i="15"/>
  <c r="G78" i="15"/>
  <c r="G52" i="15"/>
  <c r="G53" i="15"/>
  <c r="G51" i="15"/>
  <c r="G54" i="15"/>
  <c r="G55" i="15"/>
  <c r="G56" i="15"/>
  <c r="G57" i="15"/>
  <c r="G66" i="15"/>
  <c r="G67" i="15"/>
  <c r="G68" i="15"/>
  <c r="G69" i="15"/>
  <c r="G65" i="15"/>
  <c r="G71" i="15"/>
  <c r="G70" i="15"/>
  <c r="G81" i="15"/>
  <c r="G82" i="15"/>
  <c r="G83" i="15"/>
  <c r="G84" i="15"/>
  <c r="G85" i="15"/>
  <c r="G79" i="15"/>
  <c r="G80" i="15"/>
  <c r="H111" i="15"/>
  <c r="H112" i="15"/>
  <c r="H113" i="15"/>
  <c r="H110" i="15"/>
  <c r="H107" i="15"/>
  <c r="H108" i="15"/>
  <c r="H109" i="15"/>
  <c r="F90" i="15"/>
  <c r="F86" i="15"/>
  <c r="F88" i="15"/>
  <c r="F89" i="15"/>
  <c r="F91" i="15"/>
  <c r="F87" i="15"/>
  <c r="F92" i="15"/>
  <c r="F76" i="15"/>
  <c r="F72" i="15"/>
  <c r="F73" i="15"/>
  <c r="F74" i="15"/>
  <c r="F77" i="15"/>
  <c r="F75" i="15"/>
  <c r="F78" i="1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<sst xmlns="http://schemas.openxmlformats.org/spreadsheetml/2006/main" count="2752" uniqueCount="705">
  <si>
    <t>Table of Contents</t>
  </si>
  <si>
    <t>Worksheet</t>
  </si>
  <si>
    <t>Description</t>
  </si>
  <si>
    <t>ReadMe (this worksheet)</t>
  </si>
  <si>
    <t>Provides instructions to the user on the use of this spreadsheet</t>
  </si>
  <si>
    <t>Parameters</t>
  </si>
  <si>
    <t xml:space="preserve">Provides a list of parameters for the Dermal Exposure to Volatile Liquids Model and subsequent exposure metrics. </t>
  </si>
  <si>
    <t>Discrete Distributions</t>
  </si>
  <si>
    <t xml:space="preserve">Provides the values for the OES with discrete distributions for concentration and/or exposure days parameters. Concentration data is pulled from the Products worksheet. </t>
  </si>
  <si>
    <t>Calculations</t>
  </si>
  <si>
    <t xml:space="preserve">Performs the dermal exposure calculations for each OES for average adult workers. This worksheet contains @Risk formulas to capture results during a Monte Carlo simulation iteration. </t>
  </si>
  <si>
    <t>Chemistry</t>
  </si>
  <si>
    <t xml:space="preserve">Provides a list of chemical properties for tDCE. </t>
  </si>
  <si>
    <t>Products</t>
  </si>
  <si>
    <t xml:space="preserve">Provides a list of identified products containing tDCE. </t>
  </si>
  <si>
    <t>OES Lookups</t>
  </si>
  <si>
    <t>Provides a list of tDCE OESs for the dermal exposure assessment.</t>
  </si>
  <si>
    <t>Rationale for Selecting the Dermal Exposure to Volatile Liquids (DEVL) model (as opposed to the flux-based approach)</t>
  </si>
  <si>
    <r>
      <t>The DEVL model is a fractional absorption approach. The key factor in choosing between the flux-based and fraction-absorbed approach is whether the applied dose of chemical on the skin is expected to deplete during the exposure period. If it does deplete, the fraction-absorbed approach is used. If not, the flux-based approach is more appropriate. 
For volatile chemicals in occupational settings (where the max applied dose assessed is 2.1 mg/cm</t>
    </r>
    <r>
      <rPr>
        <vertAlign val="superscript"/>
        <sz val="11"/>
        <color theme="1"/>
        <rFont val="Aptos Narrow"/>
        <family val="2"/>
        <scheme val="minor"/>
      </rPr>
      <t>2</t>
    </r>
    <r>
      <rPr>
        <sz val="11"/>
        <color theme="1"/>
        <rFont val="Aptos Narrow"/>
        <family val="2"/>
        <scheme val="minor"/>
      </rPr>
      <t xml:space="preserve">), the general assumption is that the dose will deplete before the end of the workday due to both skin absorption and evaporation. In contrast, for non-volatile chemicals, depletion is entirely dependent on the rate of absorption into the skin. 
</t>
    </r>
  </si>
  <si>
    <t>Turn Monte Carlo On or Off</t>
  </si>
  <si>
    <t>Off</t>
  </si>
  <si>
    <t>Input Parameter</t>
  </si>
  <si>
    <t>Symbol</t>
  </si>
  <si>
    <t>Unit</t>
  </si>
  <si>
    <t>Deterministic Values</t>
  </si>
  <si>
    <t>Uncertainty Analysis Distribution Parameters</t>
  </si>
  <si>
    <t>Distribution Type</t>
  </si>
  <si>
    <t>@Risk Formulas</t>
  </si>
  <si>
    <t>Selected Value (Deterministic or @Risk Formula)</t>
  </si>
  <si>
    <t>Notes/Comments</t>
  </si>
  <si>
    <t>On/Off Drop Down</t>
  </si>
  <si>
    <t>Value</t>
  </si>
  <si>
    <t>Basis</t>
  </si>
  <si>
    <t>Lower Bound</t>
  </si>
  <si>
    <t>Upper Bound</t>
  </si>
  <si>
    <t>Mode</t>
  </si>
  <si>
    <t>On</t>
  </si>
  <si>
    <t>Exposed Skin Surface Area - Average Adult Workers</t>
  </si>
  <si>
    <t>S</t>
  </si>
  <si>
    <r>
      <t>cm</t>
    </r>
    <r>
      <rPr>
        <vertAlign val="superscript"/>
        <sz val="11"/>
        <color theme="1"/>
        <rFont val="Aptos Narrow"/>
        <family val="2"/>
        <scheme val="minor"/>
      </rPr>
      <t>2</t>
    </r>
  </si>
  <si>
    <t>Maximum</t>
  </si>
  <si>
    <t>-</t>
  </si>
  <si>
    <t>Uniform</t>
  </si>
  <si>
    <t>Average Adult Workers: EPA’s Exposure Factor Handbook (EFH) mean hand surface area for adult males 21 years and older.
It should be noted that while the surface area of exposed skin is derived from data for hand surface area, the assumption is not that only the workers hands may be exposed to the chemical. Nor is the assumption that the entirety of the hands is exposed for all activities. Rather, EPA assumes that dermal exposures occur to some portion of the hands plus some portion of other body parts (e.g., arms) such that the total exposed surface area is approximately equal to the surface area of no-hands to two hands. 
Incorporating a uniform distribution of the range of hand surface areas from no-hands to two-hands assumes the worker will at a maximum be exposed to a surface area equal to two hands, and that all surface area values in between and including these values are equally likely to occur. It is unknown how this assumption compares to actual occupational exposure scenarios.</t>
  </si>
  <si>
    <t>Quantity of Chemical on Skin</t>
  </si>
  <si>
    <r>
      <t>Q</t>
    </r>
    <r>
      <rPr>
        <vertAlign val="subscript"/>
        <sz val="11"/>
        <color theme="1"/>
        <rFont val="Aptos Narrow"/>
        <family val="2"/>
        <scheme val="minor"/>
      </rPr>
      <t>u</t>
    </r>
  </si>
  <si>
    <r>
      <t>mg/cm</t>
    </r>
    <r>
      <rPr>
        <vertAlign val="superscript"/>
        <sz val="11"/>
        <color theme="1"/>
        <rFont val="Aptos Narrow"/>
        <family val="2"/>
        <scheme val="minor"/>
      </rPr>
      <t>2</t>
    </r>
    <r>
      <rPr>
        <sz val="11"/>
        <color theme="1"/>
        <rFont val="Aptos Narrow"/>
        <family val="2"/>
        <scheme val="minor"/>
      </rPr>
      <t>-event</t>
    </r>
  </si>
  <si>
    <t>The range of dermal loads is derived from Cinalli, 1992. The underlying distribution and its relationship to occupational exposure scenarios is unknown; therefore, a uniform distribution across the entire range of dermal loads is assumed.
Note: tDCE only considers liquid contact and no other dermal load scenarios (e.g., liquid immersion or solids); therefore, only the distribution for liquid contact is provided above.</t>
  </si>
  <si>
    <t>Working Years</t>
  </si>
  <si>
    <t>WY</t>
  </si>
  <si>
    <t>yr</t>
  </si>
  <si>
    <t>Triangular</t>
  </si>
  <si>
    <t>Tenure data from the Bureau of Labor Statistics (BLS) and Census Bureau’s Survey of Income and Program Participation (SIPP).</t>
  </si>
  <si>
    <t>Body Weight - Average Adult Workers</t>
  </si>
  <si>
    <t>BW</t>
  </si>
  <si>
    <t>kg</t>
  </si>
  <si>
    <t>Single Value</t>
  </si>
  <si>
    <t>Static</t>
  </si>
  <si>
    <t>EPA's Exposure Factors Handbook</t>
  </si>
  <si>
    <t>Fraction absorbed</t>
  </si>
  <si>
    <r>
      <t>f</t>
    </r>
    <r>
      <rPr>
        <vertAlign val="subscript"/>
        <sz val="11"/>
        <color theme="1"/>
        <rFont val="Aptos Narrow"/>
        <family val="2"/>
        <scheme val="minor"/>
      </rPr>
      <t>abs</t>
    </r>
  </si>
  <si>
    <t>unitless</t>
  </si>
  <si>
    <t>Based on absorption data provided by EPA assessment leads</t>
  </si>
  <si>
    <t>OES1</t>
  </si>
  <si>
    <r>
      <t>Y</t>
    </r>
    <r>
      <rPr>
        <vertAlign val="subscript"/>
        <sz val="11"/>
        <color theme="1"/>
        <rFont val="Aptos Narrow"/>
        <family val="2"/>
        <scheme val="minor"/>
      </rPr>
      <t>derm, 1</t>
    </r>
  </si>
  <si>
    <t>2020 CDR indicates &gt;90%</t>
  </si>
  <si>
    <t>OES2</t>
  </si>
  <si>
    <r>
      <t>Y</t>
    </r>
    <r>
      <rPr>
        <vertAlign val="subscript"/>
        <sz val="11"/>
        <color theme="1"/>
        <rFont val="Aptos Narrow"/>
        <family val="2"/>
        <scheme val="minor"/>
      </rPr>
      <t>derm, 2</t>
    </r>
  </si>
  <si>
    <t xml:space="preserve">About 1.25 pounds of mixed chlorinated organic liquids are unintentionally produced per 100 pounds of ethylene dichloride manufactured {Vinyl Institute, 2020, 11927540}. </t>
  </si>
  <si>
    <t>OES3</t>
  </si>
  <si>
    <r>
      <t>Y</t>
    </r>
    <r>
      <rPr>
        <vertAlign val="subscript"/>
        <sz val="11"/>
        <color theme="1"/>
        <rFont val="Aptos Narrow"/>
        <family val="2"/>
        <scheme val="minor"/>
      </rPr>
      <t>derm, 3</t>
    </r>
    <r>
      <rPr>
        <sz val="11"/>
        <color theme="1"/>
        <rFont val="Aptos Narrow"/>
        <family val="2"/>
        <scheme val="minor"/>
      </rPr>
      <t/>
    </r>
  </si>
  <si>
    <t>Assumed repackaged at 100% concentration</t>
  </si>
  <si>
    <t>OES4</t>
  </si>
  <si>
    <r>
      <t>Y</t>
    </r>
    <r>
      <rPr>
        <vertAlign val="subscript"/>
        <sz val="11"/>
        <color theme="1"/>
        <rFont val="Aptos Narrow"/>
        <family val="2"/>
        <scheme val="minor"/>
      </rPr>
      <t>derm, 4</t>
    </r>
    <r>
      <rPr>
        <sz val="11"/>
        <color theme="1"/>
        <rFont val="Aptos Narrow"/>
        <family val="2"/>
        <scheme val="minor"/>
      </rPr>
      <t/>
    </r>
  </si>
  <si>
    <t>Assumed processed at 100% concentration</t>
  </si>
  <si>
    <t>OES5</t>
  </si>
  <si>
    <r>
      <t>Y</t>
    </r>
    <r>
      <rPr>
        <vertAlign val="subscript"/>
        <sz val="11"/>
        <color theme="1"/>
        <rFont val="Aptos Narrow"/>
        <family val="2"/>
        <scheme val="minor"/>
      </rPr>
      <t>derm, 5</t>
    </r>
    <r>
      <rPr>
        <sz val="11"/>
        <color theme="1"/>
        <rFont val="Aptos Narrow"/>
        <family val="2"/>
        <scheme val="minor"/>
      </rPr>
      <t/>
    </r>
  </si>
  <si>
    <t>Range of formulated products. Assumed to arrive at formulation sites at 100% concentration, then formulated into lower product concentrations.</t>
  </si>
  <si>
    <t>OES6</t>
  </si>
  <si>
    <r>
      <t>Y</t>
    </r>
    <r>
      <rPr>
        <vertAlign val="subscript"/>
        <sz val="11"/>
        <color theme="1"/>
        <rFont val="Aptos Narrow"/>
        <family val="2"/>
        <scheme val="minor"/>
      </rPr>
      <t>derm, 6</t>
    </r>
    <r>
      <rPr>
        <sz val="11"/>
        <color theme="1"/>
        <rFont val="Aptos Narrow"/>
        <family val="2"/>
        <scheme val="minor"/>
      </rPr>
      <t/>
    </r>
  </si>
  <si>
    <t>Discrete</t>
  </si>
  <si>
    <t>See Discrete Distributions tab</t>
  </si>
  <si>
    <t>Discrete distribution based on product data (see Product tab)</t>
  </si>
  <si>
    <t>OES7</t>
  </si>
  <si>
    <r>
      <t>Y</t>
    </r>
    <r>
      <rPr>
        <vertAlign val="subscript"/>
        <sz val="11"/>
        <color theme="1"/>
        <rFont val="Aptos Narrow"/>
        <family val="2"/>
        <scheme val="minor"/>
      </rPr>
      <t>derm, 7</t>
    </r>
    <r>
      <rPr>
        <sz val="11"/>
        <color theme="1"/>
        <rFont val="Aptos Narrow"/>
        <family val="2"/>
        <scheme val="minor"/>
      </rPr>
      <t/>
    </r>
  </si>
  <si>
    <t>OES8</t>
  </si>
  <si>
    <r>
      <t>Y</t>
    </r>
    <r>
      <rPr>
        <vertAlign val="subscript"/>
        <sz val="11"/>
        <color theme="1"/>
        <rFont val="Aptos Narrow"/>
        <family val="2"/>
        <scheme val="minor"/>
      </rPr>
      <t>derm, 8</t>
    </r>
    <r>
      <rPr>
        <sz val="11"/>
        <color theme="1"/>
        <rFont val="Aptos Narrow"/>
        <family val="2"/>
        <scheme val="minor"/>
      </rPr>
      <t/>
    </r>
  </si>
  <si>
    <t>OES9</t>
  </si>
  <si>
    <r>
      <t>Y</t>
    </r>
    <r>
      <rPr>
        <vertAlign val="subscript"/>
        <sz val="11"/>
        <color theme="1"/>
        <rFont val="Aptos Narrow"/>
        <family val="2"/>
        <scheme val="minor"/>
      </rPr>
      <t>derm, 9</t>
    </r>
    <r>
      <rPr>
        <sz val="11"/>
        <color theme="1"/>
        <rFont val="Aptos Narrow"/>
        <family val="2"/>
        <scheme val="minor"/>
      </rPr>
      <t/>
    </r>
  </si>
  <si>
    <t>OES10</t>
  </si>
  <si>
    <r>
      <t>Y</t>
    </r>
    <r>
      <rPr>
        <vertAlign val="subscript"/>
        <sz val="11"/>
        <color theme="1"/>
        <rFont val="Aptos Narrow"/>
        <family val="2"/>
        <scheme val="minor"/>
      </rPr>
      <t>derm, 10</t>
    </r>
    <r>
      <rPr>
        <sz val="11"/>
        <color theme="1"/>
        <rFont val="Aptos Narrow"/>
        <family val="2"/>
        <scheme val="minor"/>
      </rPr>
      <t/>
    </r>
  </si>
  <si>
    <t>OES11</t>
  </si>
  <si>
    <r>
      <t>Y</t>
    </r>
    <r>
      <rPr>
        <vertAlign val="subscript"/>
        <sz val="11"/>
        <color theme="1"/>
        <rFont val="Aptos Narrow"/>
        <family val="2"/>
        <scheme val="minor"/>
      </rPr>
      <t>derm, 11</t>
    </r>
    <r>
      <rPr>
        <sz val="11"/>
        <color theme="1"/>
        <rFont val="Aptos Narrow"/>
        <family val="2"/>
        <scheme val="minor"/>
      </rPr>
      <t/>
    </r>
  </si>
  <si>
    <t>OES12</t>
  </si>
  <si>
    <r>
      <t>Y</t>
    </r>
    <r>
      <rPr>
        <vertAlign val="subscript"/>
        <sz val="11"/>
        <color theme="1"/>
        <rFont val="Aptos Narrow"/>
        <family val="2"/>
        <scheme val="minor"/>
      </rPr>
      <t>derm, 12</t>
    </r>
    <r>
      <rPr>
        <sz val="11"/>
        <color theme="1"/>
        <rFont val="Aptos Narrow"/>
        <family val="2"/>
        <scheme val="minor"/>
      </rPr>
      <t/>
    </r>
  </si>
  <si>
    <t>OES13</t>
  </si>
  <si>
    <r>
      <t>Y</t>
    </r>
    <r>
      <rPr>
        <vertAlign val="subscript"/>
        <sz val="11"/>
        <color theme="1"/>
        <rFont val="Aptos Narrow"/>
        <family val="2"/>
        <scheme val="minor"/>
      </rPr>
      <t>derm, 13</t>
    </r>
    <r>
      <rPr>
        <sz val="11"/>
        <color theme="1"/>
        <rFont val="Aptos Narrow"/>
        <family val="2"/>
        <scheme val="minor"/>
      </rPr>
      <t/>
    </r>
  </si>
  <si>
    <t>OES14</t>
  </si>
  <si>
    <r>
      <t>Y</t>
    </r>
    <r>
      <rPr>
        <vertAlign val="subscript"/>
        <sz val="11"/>
        <color theme="1"/>
        <rFont val="Aptos Narrow"/>
        <family val="2"/>
        <scheme val="minor"/>
      </rPr>
      <t>derm, 14</t>
    </r>
    <r>
      <rPr>
        <sz val="11"/>
        <color theme="1"/>
        <rFont val="Aptos Narrow"/>
        <family val="2"/>
        <scheme val="minor"/>
      </rPr>
      <t/>
    </r>
  </si>
  <si>
    <t>OES15</t>
  </si>
  <si>
    <r>
      <t>Y</t>
    </r>
    <r>
      <rPr>
        <vertAlign val="subscript"/>
        <sz val="11"/>
        <color theme="1"/>
        <rFont val="Aptos Narrow"/>
        <family val="2"/>
        <scheme val="minor"/>
      </rPr>
      <t>derm, 15</t>
    </r>
    <r>
      <rPr>
        <sz val="11"/>
        <color theme="1"/>
        <rFont val="Aptos Narrow"/>
        <family val="2"/>
        <scheme val="minor"/>
      </rPr>
      <t/>
    </r>
  </si>
  <si>
    <t>OES16</t>
  </si>
  <si>
    <r>
      <t>Y</t>
    </r>
    <r>
      <rPr>
        <vertAlign val="subscript"/>
        <sz val="11"/>
        <color theme="1"/>
        <rFont val="Aptos Narrow"/>
        <family val="2"/>
        <scheme val="minor"/>
      </rPr>
      <t>derm, 16</t>
    </r>
    <r>
      <rPr>
        <sz val="11"/>
        <color theme="1"/>
        <rFont val="Aptos Narrow"/>
        <family val="2"/>
        <scheme val="minor"/>
      </rPr>
      <t/>
    </r>
  </si>
  <si>
    <t>Range of all upstream concentrations</t>
  </si>
  <si>
    <t>EF1</t>
  </si>
  <si>
    <t>days/yr</t>
  </si>
  <si>
    <t>Assumed 250 days/yr based on typical worker schedule</t>
  </si>
  <si>
    <t>EF2</t>
  </si>
  <si>
    <t>EF3</t>
  </si>
  <si>
    <t>Typical</t>
  </si>
  <si>
    <t>Provided by the Chemical Repackaging Generic Scenario. Obtained by multiplying the number of operating days (174-260 days/year) by the fraction of operating days with worker exposure (0.962 exposure days/operating days).</t>
  </si>
  <si>
    <t>EF4</t>
  </si>
  <si>
    <t>EF5</t>
  </si>
  <si>
    <t>Provided by the ESD on the Formulation of Adhesives</t>
  </si>
  <si>
    <t>EF6</t>
  </si>
  <si>
    <t>Provided by the ESD on the Use of Vapour Degreasers</t>
  </si>
  <si>
    <t>EF7</t>
  </si>
  <si>
    <t>Provided by ESD on Spray Coating in Automotive Industry</t>
  </si>
  <si>
    <t>EF8</t>
  </si>
  <si>
    <t>EF9</t>
  </si>
  <si>
    <t>EF10</t>
  </si>
  <si>
    <t>EF11</t>
  </si>
  <si>
    <t>EF12</t>
  </si>
  <si>
    <t>EF13</t>
  </si>
  <si>
    <t>EF14</t>
  </si>
  <si>
    <t xml:space="preserve">Provided by the Use of Laboratory Chemicals Generic Scenario. Obtained by multiplying the number of operating days (174-260 days/year) by the fraction of operating days with worker exposure (0.962 exposure days/operating days). </t>
  </si>
  <si>
    <t>EF15</t>
  </si>
  <si>
    <t>EF16</t>
  </si>
  <si>
    <t>Constants and Unit Conversions</t>
  </si>
  <si>
    <t>Frequency of events</t>
  </si>
  <si>
    <t>FT</t>
  </si>
  <si>
    <t>event/day</t>
  </si>
  <si>
    <t>Assumed one contact event per day</t>
  </si>
  <si>
    <t>Exposure days - Intermediate</t>
  </si>
  <si>
    <t>EF_IT</t>
  </si>
  <si>
    <t>day/yr</t>
  </si>
  <si>
    <t>Averaging time - Intermediate</t>
  </si>
  <si>
    <t>AT_IT</t>
  </si>
  <si>
    <t>Averaging time - Lifetime Chronic Retained Dose, Cancer</t>
  </si>
  <si>
    <t>AT_LCRD</t>
  </si>
  <si>
    <t>Based on EF_C (365 day/yr) x LT (78 yrs)</t>
  </si>
  <si>
    <t>Continuous Exposure Frequency</t>
  </si>
  <si>
    <t>EF_C</t>
  </si>
  <si>
    <t>Vapor Degreasing</t>
  </si>
  <si>
    <t>Commercial aerosol products (Aerosol degreasing, aerosol lubricants, automotive care products)</t>
  </si>
  <si>
    <t>Industrial and commercial non-aerosol cleaning/degreasing</t>
  </si>
  <si>
    <t>Miscellaneous non-aerosol industrial and commercial uses</t>
  </si>
  <si>
    <t>Application of paints and coatings</t>
  </si>
  <si>
    <t>Application of adhesives and sealants</t>
  </si>
  <si>
    <t>Refrigerant and Refrigerant Flush</t>
  </si>
  <si>
    <t>Commercial Laboratory Use</t>
  </si>
  <si>
    <t>Blowing agent in spray foam</t>
  </si>
  <si>
    <t>Repackaging - Exposure Days</t>
  </si>
  <si>
    <t>Commercial Laboratory Use - Exposure Days</t>
  </si>
  <si>
    <t>Mass Fraction of tDCE</t>
  </si>
  <si>
    <r>
      <t>F</t>
    </r>
    <r>
      <rPr>
        <b/>
        <vertAlign val="subscript"/>
        <sz val="11"/>
        <color theme="1"/>
        <rFont val="Aptos Narrow"/>
        <family val="2"/>
        <scheme val="minor"/>
      </rPr>
      <t>tDCE</t>
    </r>
  </si>
  <si>
    <t>Exposure Days</t>
  </si>
  <si>
    <t>EF</t>
  </si>
  <si>
    <t>Formulation Type ID (x)</t>
  </si>
  <si>
    <t>Occurrence; p(x)</t>
  </si>
  <si>
    <t>Sampled Formulation Type</t>
  </si>
  <si>
    <t>Exposure Day Type ID (x)</t>
  </si>
  <si>
    <t>Sampled Exposure Day</t>
  </si>
  <si>
    <t>Formulation Type ID</t>
  </si>
  <si>
    <t xml:space="preserve">tDCE wt% </t>
  </si>
  <si>
    <t>Sampled tDCE wt%</t>
  </si>
  <si>
    <t>Exposure Day Type ID</t>
  </si>
  <si>
    <t>Exposure Days (day/yr)</t>
  </si>
  <si>
    <t>OES</t>
  </si>
  <si>
    <t>Parameter Name</t>
  </si>
  <si>
    <t>Equation</t>
  </si>
  <si>
    <t>Stochastic Value</t>
  </si>
  <si>
    <t>Potential Dose Rate</t>
  </si>
  <si>
    <t>APDRi</t>
  </si>
  <si>
    <t xml:space="preserve">S*Qu*fabs*Yderm,i*FT
</t>
  </si>
  <si>
    <t>mg/day</t>
  </si>
  <si>
    <t>Acute Retained Dose</t>
  </si>
  <si>
    <t>ARDi</t>
  </si>
  <si>
    <t>APDR,i / BW</t>
  </si>
  <si>
    <t>mg/kg-day</t>
  </si>
  <si>
    <t>Intermediate Retained Dose, Non-Cancer</t>
  </si>
  <si>
    <t>IRDi</t>
  </si>
  <si>
    <t>If EFi ≥ EF_IT:
ARDi*EF_IT / AT_IT
Otherwise:
ARDi*EFi / AT_IT</t>
  </si>
  <si>
    <t>Chronic Retained Dose, Non-Cancer</t>
  </si>
  <si>
    <t>CRDi</t>
  </si>
  <si>
    <t>ARDi*EFi*WY / (ATC which is WY*EF_C)</t>
  </si>
  <si>
    <t>Chronic Retained Dose, Cancer</t>
  </si>
  <si>
    <t>LCRDi</t>
  </si>
  <si>
    <t>ARDi*EFi*WY / ATLCRD</t>
  </si>
  <si>
    <t>Monte Carlo Simulation Parameters</t>
  </si>
  <si>
    <t>Number of Iterations</t>
  </si>
  <si>
    <t>Sampling Method</t>
  </si>
  <si>
    <t>Latin Hypercube</t>
  </si>
  <si>
    <t>OES Lookup</t>
  </si>
  <si>
    <t>OES Name</t>
  </si>
  <si>
    <t>Statistic</t>
  </si>
  <si>
    <t>Average Adult Worker</t>
  </si>
  <si>
    <t>APDR (mg/day)</t>
  </si>
  <si>
    <t>ARD (mg/kg-day)</t>
  </si>
  <si>
    <t>IRD (mg/kg-day)</t>
  </si>
  <si>
    <t>CRD (mg/kg-day)</t>
  </si>
  <si>
    <t>LCRD (mg/kg-day)</t>
  </si>
  <si>
    <t>99th Percentile</t>
  </si>
  <si>
    <t>95th Percentile</t>
  </si>
  <si>
    <t>50th Percentile</t>
  </si>
  <si>
    <t>5th Percentile</t>
  </si>
  <si>
    <t>Minimum</t>
  </si>
  <si>
    <t>Mean</t>
  </si>
  <si>
    <t>Manufacture</t>
  </si>
  <si>
    <t>Manufacture as a byproduct</t>
  </si>
  <si>
    <t>Repackaging</t>
  </si>
  <si>
    <t>Processing as a reactant</t>
  </si>
  <si>
    <t>Processing into formulation, mixture, or reaction product</t>
  </si>
  <si>
    <t>Vapor degreasing</t>
  </si>
  <si>
    <t>Commercial aerosol products (aerosol degreasing, aerosol lubricants, automotive care products)</t>
  </si>
  <si>
    <t>Refrigerant and refrigerant flush</t>
  </si>
  <si>
    <t>Semiconductor manufacturing</t>
  </si>
  <si>
    <t>Commercial laboratory use</t>
  </si>
  <si>
    <t>Waste handling, disposal, treatment, and recycling</t>
  </si>
  <si>
    <t>Property</t>
  </si>
  <si>
    <t>Source</t>
  </si>
  <si>
    <t>Molecular Weight</t>
  </si>
  <si>
    <t>96.94 g/mol</t>
  </si>
  <si>
    <t>Final Scope Document</t>
  </si>
  <si>
    <t>Physical State</t>
  </si>
  <si>
    <t>Liquid</t>
  </si>
  <si>
    <t>Density</t>
  </si>
  <si>
    <t>1.2565 g/cm^3</t>
  </si>
  <si>
    <t>Vapor Pressure</t>
  </si>
  <si>
    <t>331 mmHg @ 25C</t>
  </si>
  <si>
    <t>Vapor Density</t>
  </si>
  <si>
    <t>3.34 g/L @ 760 mm Hg</t>
  </si>
  <si>
    <t>Water Solubility</t>
  </si>
  <si>
    <t>4,520 mg/L @ 25C</t>
  </si>
  <si>
    <t>Use</t>
  </si>
  <si>
    <t>Manufacturer</t>
  </si>
  <si>
    <t>Product Name</t>
  </si>
  <si>
    <t>tDCE Concentration</t>
  </si>
  <si>
    <t>Notes</t>
  </si>
  <si>
    <t>Concentration</t>
  </si>
  <si>
    <t>Units</t>
  </si>
  <si>
    <t xml:space="preserve">Manufacturing </t>
  </si>
  <si>
    <t>Eagle US 2 LLC (Westlake, LA)</t>
  </si>
  <si>
    <t>90-100%</t>
  </si>
  <si>
    <t>by weight</t>
  </si>
  <si>
    <t>CDR indicates &gt;90%</t>
  </si>
  <si>
    <t xml:space="preserve">Manufacturing as a Byproduct </t>
  </si>
  <si>
    <t>Olin Blue Cube (Freeport, TX)</t>
  </si>
  <si>
    <t>&lt;1.25%</t>
  </si>
  <si>
    <t>Assume 100%</t>
  </si>
  <si>
    <t>Processing as a Reactant</t>
  </si>
  <si>
    <t xml:space="preserve">Processing into formulation, mixture, or reaction product </t>
  </si>
  <si>
    <t>Semiconductor Manufacturing (Processing Aid)</t>
  </si>
  <si>
    <t xml:space="preserve">assume Proc as a Reactant </t>
  </si>
  <si>
    <t>1-100</t>
  </si>
  <si>
    <t>Electronic Degreaser</t>
  </si>
  <si>
    <t>3M</t>
  </si>
  <si>
    <t>Novec Electronic Degreaser</t>
  </si>
  <si>
    <t>65 - 75</t>
  </si>
  <si>
    <t>Contact Cleaner</t>
  </si>
  <si>
    <t>Novec Contact Cleaner Plus</t>
  </si>
  <si>
    <t>15 - 24</t>
  </si>
  <si>
    <t>Novec Contact Cleaner Lubricant</t>
  </si>
  <si>
    <t>15 - 25 Trade Secret *</t>
  </si>
  <si>
    <t>Flux Cleaner</t>
  </si>
  <si>
    <t>Novec Flux Remover</t>
  </si>
  <si>
    <t>55 - 70</t>
  </si>
  <si>
    <t>Claire</t>
  </si>
  <si>
    <t>Non Flammable Contact Cleaner</t>
  </si>
  <si>
    <t>Not provided</t>
  </si>
  <si>
    <t>CRC</t>
  </si>
  <si>
    <t>PF Precision Cleaner</t>
  </si>
  <si>
    <t>3-5</t>
  </si>
  <si>
    <t>General Aerosol Degreaser</t>
  </si>
  <si>
    <t>Aviation Next Generation Degreaser</t>
  </si>
  <si>
    <t xml:space="preserve">Aviation T Force </t>
  </si>
  <si>
    <t>40-50</t>
  </si>
  <si>
    <t>Aviation XT 2000 Precision Cleaner</t>
  </si>
  <si>
    <t>20-30</t>
  </si>
  <si>
    <t>Coil Cleaner</t>
  </si>
  <si>
    <t>Contact Cleaner 2000 VC Precision Cleaner</t>
  </si>
  <si>
    <t>30-40</t>
  </si>
  <si>
    <t>Contact Cleaner 2000 Precision Cleaner</t>
  </si>
  <si>
    <t>60-70</t>
  </si>
  <si>
    <t>Heavy Duty Degreaser MUO</t>
  </si>
  <si>
    <t>5-10</t>
  </si>
  <si>
    <t>Lectra Force</t>
  </si>
  <si>
    <t>T Force Degreaser MUO Non Flammable</t>
  </si>
  <si>
    <t>80-90</t>
  </si>
  <si>
    <t>T Force PowerJet Degreaser MUO</t>
  </si>
  <si>
    <t>T Force Next Generation Degreaser</t>
  </si>
  <si>
    <t>XT 2000 Precision Cleaner</t>
  </si>
  <si>
    <t>ITW Brands</t>
  </si>
  <si>
    <t>LPS Instant Super Degreaser 2.0</t>
  </si>
  <si>
    <t>Pro Chem</t>
  </si>
  <si>
    <t>Blaster</t>
  </si>
  <si>
    <t>Supersol</t>
  </si>
  <si>
    <t>American Industries Inc.</t>
  </si>
  <si>
    <t>Ozene</t>
  </si>
  <si>
    <t>United Laboratories, Inc.</t>
  </si>
  <si>
    <t>United 174 Contact Cleaner</t>
  </si>
  <si>
    <t>Cutting Oil</t>
  </si>
  <si>
    <t>Kimball Midwest</t>
  </si>
  <si>
    <t>Ultra Cut 2 Cutting Tool Coolant</t>
  </si>
  <si>
    <t>Appears to be an aerosol metalworking fluid - not an OES?</t>
  </si>
  <si>
    <t>Dry cleaning chemicals</t>
  </si>
  <si>
    <t>n/a</t>
  </si>
  <si>
    <t>Albatross USA Inc.</t>
  </si>
  <si>
    <t>EverBlum Gold Cleaning Fluid</t>
  </si>
  <si>
    <t>30 - 40</t>
  </si>
  <si>
    <t>Spot cleaning was removed as OES</t>
  </si>
  <si>
    <t>Liquid Auto Parts Degreaser</t>
  </si>
  <si>
    <t>CRC Industries, Inc.</t>
  </si>
  <si>
    <t>Heavy Duty Degreaser</t>
  </si>
  <si>
    <t>Liquid Industrial Degreaser</t>
  </si>
  <si>
    <t>T-Force® Degreaser</t>
  </si>
  <si>
    <t>Mold Cleaner</t>
  </si>
  <si>
    <t>Stoner Incorporated</t>
  </si>
  <si>
    <t>Non Flammable Mold Cleaner (A497)</t>
  </si>
  <si>
    <t>80-100</t>
  </si>
  <si>
    <t>Automotive A/C Flush</t>
  </si>
  <si>
    <t>MicroCare Corporation</t>
  </si>
  <si>
    <t>Dura II A/C Flush Solvent</t>
  </si>
  <si>
    <t>60-90</t>
  </si>
  <si>
    <t>Nu-Calgon</t>
  </si>
  <si>
    <t>Rx11-Flush Aerosol</t>
  </si>
  <si>
    <t>40-70</t>
  </si>
  <si>
    <t>Energized Electronic Equipment Cleaner</t>
  </si>
  <si>
    <t>Chemtronics</t>
  </si>
  <si>
    <t>Pow-R-Wash CZ</t>
  </si>
  <si>
    <t>5-20</t>
  </si>
  <si>
    <t>Pow-R-Wash Delta</t>
  </si>
  <si>
    <t>10-15</t>
  </si>
  <si>
    <t>Flux cleaner</t>
  </si>
  <si>
    <t>ACL Incorporated</t>
  </si>
  <si>
    <t>A4 All Purpose Flux Remover and Cleaner</t>
  </si>
  <si>
    <t>45-55</t>
  </si>
  <si>
    <r>
      <rPr>
        <sz val="10"/>
        <rFont val="Aptos Narrow"/>
        <family val="2"/>
        <scheme val="minor"/>
      </rPr>
      <t>Techspray, L.P.</t>
    </r>
  </si>
  <si>
    <r>
      <rPr>
        <sz val="10"/>
        <rFont val="Aptos Narrow"/>
        <family val="2"/>
        <scheme val="minor"/>
      </rPr>
      <t>Blue Shower® G3®</t>
    </r>
  </si>
  <si>
    <t>25-50</t>
  </si>
  <si>
    <t>Contact cleaner</t>
  </si>
  <si>
    <r>
      <rPr>
        <sz val="10"/>
        <rFont val="Aptos Narrow"/>
        <family val="2"/>
        <scheme val="minor"/>
      </rPr>
      <t>G3 Contact Cleaner</t>
    </r>
  </si>
  <si>
    <t>50-75</t>
  </si>
  <si>
    <t>G3 Flux Remover</t>
  </si>
  <si>
    <t>G3 No-Clean Flux Remover</t>
  </si>
  <si>
    <t>G3 Industrial Maintenance Cleaner</t>
  </si>
  <si>
    <t>Liquid General Degreaser</t>
  </si>
  <si>
    <t>G3 Universal Cleaner</t>
  </si>
  <si>
    <t>Vapor degreaser</t>
  </si>
  <si>
    <r>
      <rPr>
        <sz val="10"/>
        <rFont val="Aptos Narrow"/>
        <family val="2"/>
        <scheme val="minor"/>
      </rPr>
      <t>PWR-4 Flux Remover</t>
    </r>
  </si>
  <si>
    <t>≥90</t>
  </si>
  <si>
    <t>Precision-V Flux Remover</t>
  </si>
  <si>
    <t>10-23</t>
  </si>
  <si>
    <t>Liquid Oxygen Validation Solvent</t>
  </si>
  <si>
    <t>10-25</t>
  </si>
  <si>
    <t>Aviation Degreaser II</t>
  </si>
  <si>
    <t>&lt;13</t>
  </si>
  <si>
    <t>PWR-4 Transit Equipment Degreaser</t>
  </si>
  <si>
    <t>PWR-4 Industrial Maintenance Cleaner</t>
  </si>
  <si>
    <t>PWR-4 Solvent 3410</t>
  </si>
  <si>
    <t>Precision-V Solvent 371DA</t>
  </si>
  <si>
    <t>Precision-V Solvent 371DE</t>
  </si>
  <si>
    <t>Precision-V Solvent 3820</t>
  </si>
  <si>
    <t>Precision-V Solvent 372DA</t>
  </si>
  <si>
    <t>Precision-V Solvent 372DE</t>
  </si>
  <si>
    <t>Precision-V Solvent 373DE</t>
  </si>
  <si>
    <t>84-86</t>
  </si>
  <si>
    <t>PWR-4 Solvent 3910</t>
  </si>
  <si>
    <t>Mold release</t>
  </si>
  <si>
    <t>Allied High Tech Products Inc</t>
  </si>
  <si>
    <t>Mold Release cold release PTFE liquid</t>
  </si>
  <si>
    <t>Coventry 12820 Precision Cleaning Solvent</t>
  </si>
  <si>
    <t>Electronic degreaser</t>
  </si>
  <si>
    <t>Electro-Wash Delta Cleaner Degreaser</t>
  </si>
  <si>
    <t>Flux-Off Delta</t>
  </si>
  <si>
    <t>also non-aerosol</t>
  </si>
  <si>
    <t>Electro-Wash NXO Degreaser</t>
  </si>
  <si>
    <t>Flux-off Heavy Duty</t>
  </si>
  <si>
    <t>Electro-Wash VZ Degreaser</t>
  </si>
  <si>
    <t>15-30</t>
  </si>
  <si>
    <t>Flux-Off VZ</t>
  </si>
  <si>
    <t>Pow-R-Wash VZ</t>
  </si>
  <si>
    <t>Electro-Wash CZ Degreaser</t>
  </si>
  <si>
    <t>10-50</t>
  </si>
  <si>
    <t>Flux-Off CZ</t>
  </si>
  <si>
    <t>&lt;10</t>
  </si>
  <si>
    <t>Electro-Wash Tri-V Degreaser</t>
  </si>
  <si>
    <t>Max-Kleen Tri-V</t>
  </si>
  <si>
    <t>Flux-off Tri-V</t>
  </si>
  <si>
    <t>Super Degreaser MUO</t>
  </si>
  <si>
    <t>Super Degreaser Plus Degreaser</t>
  </si>
  <si>
    <t>Electrical CRC Electronic Component Cleaner</t>
  </si>
  <si>
    <t>NT Precision Cleaner</t>
  </si>
  <si>
    <t>CE Precision Cleaner</t>
  </si>
  <si>
    <t>10-20</t>
  </si>
  <si>
    <t>Cable Clean Degreaser</t>
  </si>
  <si>
    <t>Cable Clean RD High Voltage Cleaner (Rapid Dry)</t>
  </si>
  <si>
    <t>1-5</t>
  </si>
  <si>
    <t>Cable Clean High Voltage Splice and Termination Cleaner</t>
  </si>
  <si>
    <t>Adhesive</t>
  </si>
  <si>
    <t>Dap Foam, Inc</t>
  </si>
  <si>
    <t>Touch N Seal Storm Bond 1K PU Roof Tile Adhesive</t>
  </si>
  <si>
    <t>Sealant</t>
  </si>
  <si>
    <t>Huntsman Building Solutions</t>
  </si>
  <si>
    <t>Heatlok® XT B-side</t>
  </si>
  <si>
    <t>Enviro Tech International, Inc.</t>
  </si>
  <si>
    <t>EnSolv Plus</t>
  </si>
  <si>
    <t>&gt;75</t>
  </si>
  <si>
    <t>ETI 71DA</t>
  </si>
  <si>
    <t>&lt;=43</t>
  </si>
  <si>
    <t>ETI 71DE</t>
  </si>
  <si>
    <t>≥45</t>
  </si>
  <si>
    <t>ETI 73DE</t>
  </si>
  <si>
    <t>≥60</t>
  </si>
  <si>
    <t>NEXT HD Pro 43A</t>
  </si>
  <si>
    <t>40</t>
  </si>
  <si>
    <t>NEXT HD Pro 43</t>
  </si>
  <si>
    <t>NEXT HD Pro 70A</t>
  </si>
  <si>
    <t>&lt;75</t>
  </si>
  <si>
    <t>NEXT HD Pro 70</t>
  </si>
  <si>
    <t>&gt;65</t>
  </si>
  <si>
    <t>NEXT HD Pro A</t>
  </si>
  <si>
    <t>90-70</t>
  </si>
  <si>
    <t>NEXT HD Pro M</t>
  </si>
  <si>
    <t>NEXT HD Pro</t>
  </si>
  <si>
    <t>NEXT HT</t>
  </si>
  <si>
    <t>&gt;90</t>
  </si>
  <si>
    <t>cold wipe</t>
  </si>
  <si>
    <t>Inventec</t>
  </si>
  <si>
    <t>PROMOSOLVTM 70</t>
  </si>
  <si>
    <t>LPS MAX Instant Super Degreaser 2.0</t>
  </si>
  <si>
    <t>LPS MAX NoFlash 2.0</t>
  </si>
  <si>
    <t>35-45</t>
  </si>
  <si>
    <t>Johns Manville</t>
  </si>
  <si>
    <t>JM CORBOND IV Closed-cell Spray Polyurethane Foam</t>
  </si>
  <si>
    <t>Rx11-Flush Liquid</t>
  </si>
  <si>
    <t>65-85</t>
  </si>
  <si>
    <t>NuGenTec</t>
  </si>
  <si>
    <t>Fluosolv 5408</t>
  </si>
  <si>
    <t>85-99</t>
  </si>
  <si>
    <t>FluoSolv 71DE</t>
  </si>
  <si>
    <t>FLUOSOLV AP</t>
  </si>
  <si>
    <t>FLUOSOLV BA (Aerosol)</t>
  </si>
  <si>
    <t>FLUOSOLV CX</t>
  </si>
  <si>
    <t>FluoSolv D-Flux</t>
  </si>
  <si>
    <t>Mold cleaner</t>
  </si>
  <si>
    <t>FluoSolv Eleven-X</t>
  </si>
  <si>
    <t>FluoSolv HT-G20 (Non-PFAS)</t>
  </si>
  <si>
    <t>FluoSolv NPX</t>
  </si>
  <si>
    <t>40-65</t>
  </si>
  <si>
    <t>FluoSolv Ten-X</t>
  </si>
  <si>
    <t>FluoSolv WS</t>
  </si>
  <si>
    <t>FluoSolv Wsa</t>
  </si>
  <si>
    <t>Chemours</t>
  </si>
  <si>
    <t>Vertrel™ MCA specialty fluid</t>
  </si>
  <si>
    <t>30-60</t>
  </si>
  <si>
    <t>Vertrel™ SDG specialty fluid</t>
  </si>
  <si>
    <t>Vertrel™ SFR specialty fluid</t>
  </si>
  <si>
    <t>60-80</t>
  </si>
  <si>
    <t>Vertrel™ SMT specialty fluid</t>
  </si>
  <si>
    <t>Vertrel™ X-DF specialty fluid</t>
  </si>
  <si>
    <t>Opteon™ SF79 Specialty Fluid</t>
  </si>
  <si>
    <t>90-100</t>
  </si>
  <si>
    <t>Reliance Speciality Products, Inc.</t>
  </si>
  <si>
    <t>AeroTron-100</t>
  </si>
  <si>
    <t>Atco International</t>
  </si>
  <si>
    <t>Circuit-Safe</t>
  </si>
  <si>
    <t>7-13</t>
  </si>
  <si>
    <t>Belzona Inc.</t>
  </si>
  <si>
    <t>BELZONA® 9411 (RELEASE AGENT)</t>
  </si>
  <si>
    <t>10-30</t>
  </si>
  <si>
    <t>CHEMSEARCH FE DIV. OF NCH CORP</t>
  </si>
  <si>
    <t>DYLEK II AEROSOL</t>
  </si>
  <si>
    <t>DiversiTech Corporation</t>
  </si>
  <si>
    <t>Pro-Flush™ Aerosol</t>
  </si>
  <si>
    <t>Pro-Flush™ HVAC Flushing Solvent</t>
  </si>
  <si>
    <t>50-60</t>
  </si>
  <si>
    <t>Drummond</t>
  </si>
  <si>
    <t>Drummond™ 3-2-1 Electronic Cleaner</t>
  </si>
  <si>
    <t>GC Electronics</t>
  </si>
  <si>
    <t>Flux Remover and Cleaner</t>
  </si>
  <si>
    <t>58</t>
  </si>
  <si>
    <t>PS TERMINAL™ AEROSOL</t>
  </si>
  <si>
    <t>Whitmore Manufacturing LLC</t>
  </si>
  <si>
    <t>LPS NoFlash 2.0</t>
  </si>
  <si>
    <t>LPS Electra X 2.0</t>
  </si>
  <si>
    <t>LPS® Electro Contact Cleaner</t>
  </si>
  <si>
    <t>Miller-Stephenson Chemical</t>
  </si>
  <si>
    <t>MS-122SE</t>
  </si>
  <si>
    <t>38-52</t>
  </si>
  <si>
    <t>DPMS H0805A LGW Heavy Duty Solvent &amp; Flux Remover</t>
  </si>
  <si>
    <t>53-56</t>
  </si>
  <si>
    <t>Lubricant</t>
  </si>
  <si>
    <t>MS-124H</t>
  </si>
  <si>
    <t>68-74</t>
  </si>
  <si>
    <t>MS-255 M-255M Surface PrepClean</t>
  </si>
  <si>
    <t>20-40</t>
  </si>
  <si>
    <t>MS-381H MS-381HM MS-381HSP</t>
  </si>
  <si>
    <t>38-42</t>
  </si>
  <si>
    <t xml:space="preserve">MS-530N </t>
  </si>
  <si>
    <t>42-52</t>
  </si>
  <si>
    <t xml:space="preserve">MS-555 </t>
  </si>
  <si>
    <t>65-70</t>
  </si>
  <si>
    <t>MS-560</t>
  </si>
  <si>
    <t>42-48</t>
  </si>
  <si>
    <t>MS-580N DPMS-N0627A-1</t>
  </si>
  <si>
    <t>MS-460 H</t>
  </si>
  <si>
    <t>30-35</t>
  </si>
  <si>
    <t>MS-725 MS-725M</t>
  </si>
  <si>
    <t>33-37</t>
  </si>
  <si>
    <t>North Woods</t>
  </si>
  <si>
    <t>LIGHTNING PLUS III</t>
  </si>
  <si>
    <t>40-60</t>
  </si>
  <si>
    <t>Rainbow Technology Corporation</t>
  </si>
  <si>
    <t>Clean &amp; Lube</t>
  </si>
  <si>
    <t>Reference standard</t>
  </si>
  <si>
    <t>Restek Corporation</t>
  </si>
  <si>
    <t>30043 / 502.2 Calibration Mix #2</t>
  </si>
  <si>
    <t>20</t>
  </si>
  <si>
    <t>30006 / VOA Calibration Mix #1</t>
  </si>
  <si>
    <t>30601 / Drinking Water VOA MegaMix™, 524.2 Rev 4.1</t>
  </si>
  <si>
    <t>Southland Distribution &amp; Sales</t>
  </si>
  <si>
    <t>BIO LUBE HANDPIECE CLEANER</t>
  </si>
  <si>
    <t>50-80</t>
  </si>
  <si>
    <t>Temperature indicator</t>
  </si>
  <si>
    <t>LA-CO Industries, Inc</t>
  </si>
  <si>
    <t>Tempilaq® Advanced Red, Tempilaq® Advanced Orange</t>
  </si>
  <si>
    <t>35-55</t>
  </si>
  <si>
    <t>non-aerosol</t>
  </si>
  <si>
    <t>Tempilaq® Advanced Thinner</t>
  </si>
  <si>
    <t>60-85</t>
  </si>
  <si>
    <t>Wechem, Inc</t>
  </si>
  <si>
    <t>Circuit Wash</t>
  </si>
  <si>
    <t>70-80</t>
  </si>
  <si>
    <t>Force 200 (Aerosol)</t>
  </si>
  <si>
    <t>83-95</t>
  </si>
  <si>
    <t>QC Lube</t>
  </si>
  <si>
    <t>55-65</t>
  </si>
  <si>
    <t>Novec 71DA</t>
  </si>
  <si>
    <t>42-46</t>
  </si>
  <si>
    <t>Novec 71DE</t>
  </si>
  <si>
    <t>49-51</t>
  </si>
  <si>
    <t>Novec 71D90</t>
  </si>
  <si>
    <t>88-92</t>
  </si>
  <si>
    <t>Novec 72DA</t>
  </si>
  <si>
    <t>66-70</t>
  </si>
  <si>
    <t>Novec 72FL</t>
  </si>
  <si>
    <t>&lt;20</t>
  </si>
  <si>
    <t>Novec 72DE</t>
  </si>
  <si>
    <t>68-72</t>
  </si>
  <si>
    <t>Novec 73DE</t>
  </si>
  <si>
    <t>Refrigerant Flush</t>
  </si>
  <si>
    <t>Ace</t>
  </si>
  <si>
    <t>Power Flush II</t>
  </si>
  <si>
    <t>Spot Remover</t>
  </si>
  <si>
    <t>New S.P.I.F. II</t>
  </si>
  <si>
    <t>&lt;95</t>
  </si>
  <si>
    <t>Spot cleaner no longer OES</t>
  </si>
  <si>
    <t>Albachem Alba Cleaning Fluid</t>
  </si>
  <si>
    <t>Penetrant Cleaner</t>
  </si>
  <si>
    <t>American Gas &amp; Chemical</t>
  </si>
  <si>
    <t>AG-1D-RH Flaw Finder Cleaner, Aerosol</t>
  </si>
  <si>
    <t>&lt;45</t>
  </si>
  <si>
    <t>AG-1D-RH Flaw Finder Cleaner, Liquid</t>
  </si>
  <si>
    <t>&lt;65</t>
  </si>
  <si>
    <t>Oxygen Fitting Cleaner</t>
  </si>
  <si>
    <t>Oxygen Fitting Clenaer AG-OFC</t>
  </si>
  <si>
    <t>Hi Performance Synthetic Lubricant</t>
  </si>
  <si>
    <t>Leak Detection Spray</t>
  </si>
  <si>
    <t>Acid/Base Colormetric Developer</t>
  </si>
  <si>
    <t>&lt;40</t>
  </si>
  <si>
    <t>Vapor Detection Powder</t>
  </si>
  <si>
    <t>Pinpoint Colormetric Developer for Ammonia</t>
  </si>
  <si>
    <t>&lt;60</t>
  </si>
  <si>
    <t>Pinpoint Ammonia Detecting Spray</t>
  </si>
  <si>
    <t>Penetrant Developer</t>
  </si>
  <si>
    <t>Flaw-Finder AG-2D-DH Penetrant Developer (Aerosol)</t>
  </si>
  <si>
    <t>29</t>
  </si>
  <si>
    <t>Flaw-Finder AG-2D-DH Penetrant Developer (Liquid)</t>
  </si>
  <si>
    <t>Color Change Developer for Hydro 2 (Aerosol)</t>
  </si>
  <si>
    <t>&lt;50</t>
  </si>
  <si>
    <t>Color Change Developer for Hydro 2 (Bulk)</t>
  </si>
  <si>
    <t>Hydrocarbon Detection Spray</t>
  </si>
  <si>
    <t>ODP-210 Pinpoint Colormetric Hydrocarbon Detection Paint (Aerosol)</t>
  </si>
  <si>
    <t>Hydrocarbon Detection Paint</t>
  </si>
  <si>
    <t>ODP-210 Pinpoint Colormetric Hydrocarbon Detection Paint (Bulk)</t>
  </si>
  <si>
    <t>Water Detection Paint</t>
  </si>
  <si>
    <t>Pinpoint Colormetric Developer for Water (Aerosol)</t>
  </si>
  <si>
    <t>Pinpoint Colormetric Developer for Water (Paint)</t>
  </si>
  <si>
    <t>Vertrel MCA Plus</t>
  </si>
  <si>
    <t>Solvent</t>
  </si>
  <si>
    <t>Vertrel SDG Select</t>
  </si>
  <si>
    <t>Vertrel S-DF</t>
  </si>
  <si>
    <t>Vertrel C-HD</t>
  </si>
  <si>
    <t>Vertrel XMS Plus</t>
  </si>
  <si>
    <t>Opteon Sion</t>
  </si>
  <si>
    <t>Opteon SF30</t>
  </si>
  <si>
    <t>also non-aerosol and aerosol</t>
  </si>
  <si>
    <t>Opteon SF80</t>
  </si>
  <si>
    <t xml:space="preserve">also non-aerosol </t>
  </si>
  <si>
    <t>Refrigerant</t>
  </si>
  <si>
    <t>Opteon XP30 (R-514A)</t>
  </si>
  <si>
    <t>25.3</t>
  </si>
  <si>
    <t>Clean Shot</t>
  </si>
  <si>
    <t>45-70</t>
  </si>
  <si>
    <t>Touch N Seal Quick Cure Cylinder High Yield PU Foam Sealant</t>
  </si>
  <si>
    <t>DENTALEZ</t>
  </si>
  <si>
    <t>Junk-Out High Speed Chuck Cleaner</t>
  </si>
  <si>
    <t>45-48</t>
  </si>
  <si>
    <t>Spray Foam Insulation</t>
  </si>
  <si>
    <t>Heatlok® XT High Lift B-side</t>
  </si>
  <si>
    <t>PIPFoam 250A-CO B-Side</t>
  </si>
  <si>
    <t>2.75-3.25</t>
  </si>
  <si>
    <t>PIPFoam 250A-DC B-Side</t>
  </si>
  <si>
    <t>PIPFoam 250A-FR B-Side</t>
  </si>
  <si>
    <t>Gun Cleaner</t>
  </si>
  <si>
    <t>Hydrobalance</t>
  </si>
  <si>
    <t>Sludge Gun Cleaning Fluid</t>
  </si>
  <si>
    <t>PROMOSOLVTM DE4</t>
  </si>
  <si>
    <t>PROMOSOLVTM NEO B1</t>
  </si>
  <si>
    <t>TORQ CB III</t>
  </si>
  <si>
    <t>Circ-Kleen Ultra High Performance Contact Cleaner</t>
  </si>
  <si>
    <t>71DA Engineered Fluid</t>
  </si>
  <si>
    <t>50-100</t>
  </si>
  <si>
    <t>71DE Engineered Fluid</t>
  </si>
  <si>
    <t>72DA Engineered Fluid</t>
  </si>
  <si>
    <t>72DE Engineered Fluid</t>
  </si>
  <si>
    <t>72FL Engineered Fluid</t>
  </si>
  <si>
    <t>73DE Engineered Fluid</t>
  </si>
  <si>
    <t>9576R Solvent</t>
  </si>
  <si>
    <t>Sticklers Fiber Cleaning Fluid</t>
  </si>
  <si>
    <t>CleanBlast HFE-based Cleaning Fluid</t>
  </si>
  <si>
    <t>Synthetic Grease Cleaner</t>
  </si>
  <si>
    <t>60-100</t>
  </si>
  <si>
    <t>General Purpose Flux Remover</t>
  </si>
  <si>
    <t>Flux Remover C</t>
  </si>
  <si>
    <t>Heavy Duty Degreaser, Aerosol</t>
  </si>
  <si>
    <t>HDS Heavy Duty Degreasing Solvent</t>
  </si>
  <si>
    <t>Lead-Free Flux Remover - Powerclean, Aerosol and Bulk</t>
  </si>
  <si>
    <t>SMT</t>
  </si>
  <si>
    <t>SPR - Heavy Duty Flux Remover - Suprclean, Aerosol</t>
  </si>
  <si>
    <t>Smoothing Station Fluid</t>
  </si>
  <si>
    <t>SSF Smoothing Station Fluid</t>
  </si>
  <si>
    <t>Tergo CCA Broad Range Degreasing Fluid</t>
  </si>
  <si>
    <t>Tergo High Performance Flux Remover - Rinse</t>
  </si>
  <si>
    <t>Tergo General Cleaning Fluid</t>
  </si>
  <si>
    <t>Tergo Heavy Degreasing Fluid</t>
  </si>
  <si>
    <t>Tergo Metal Cleaning Fluid Booster</t>
  </si>
  <si>
    <t>Tergo Metal Cleaning Fluid</t>
  </si>
  <si>
    <t>Tergo SFR</t>
  </si>
  <si>
    <t>Tergo XCF2</t>
  </si>
  <si>
    <t>Tergo XCF3</t>
  </si>
  <si>
    <t>PW2 Lead Free Flux Remover - Powerclean II - Bulk</t>
  </si>
  <si>
    <t>Smoothing Station Fluid II</t>
  </si>
  <si>
    <t>Tergo HDF Booster Premix</t>
  </si>
  <si>
    <t>Tergo High Performance Flux Remover 2 - Additive</t>
  </si>
  <si>
    <t>2.5-5</t>
  </si>
  <si>
    <t>Tergo High Performance Flux Remover 2</t>
  </si>
  <si>
    <t>Universal Carrier Fluid II</t>
  </si>
  <si>
    <t>MS-143HN</t>
  </si>
  <si>
    <t>35-41</t>
  </si>
  <si>
    <t>Conformal coating</t>
  </si>
  <si>
    <t>MS-462H</t>
  </si>
  <si>
    <t>MS-477C</t>
  </si>
  <si>
    <t>ShieldSys 472X</t>
  </si>
  <si>
    <t>MS-557 Heavy Duty Solvent &amp; Flux Remover</t>
  </si>
  <si>
    <t>Polyurethane Resin</t>
  </si>
  <si>
    <t>NCFI</t>
  </si>
  <si>
    <t>R-10-011</t>
  </si>
  <si>
    <t>&lt;3</t>
  </si>
  <si>
    <t>Electrical Contact Cleaner</t>
  </si>
  <si>
    <t>15-40</t>
  </si>
  <si>
    <t>Permabond</t>
  </si>
  <si>
    <t>ASC 10 Adhesive Accelerator</t>
  </si>
  <si>
    <t>Questspecialty</t>
  </si>
  <si>
    <t>Pow High Voltage Cable Cleaner and Electric Motor Degreaser</t>
  </si>
  <si>
    <t>Power Cable &amp; Contact Cleaner</t>
  </si>
  <si>
    <t>70</t>
  </si>
  <si>
    <t>Asphalt Extraction</t>
  </si>
  <si>
    <t>Aerotron AE</t>
  </si>
  <si>
    <t>&gt;55</t>
  </si>
  <si>
    <t>Aerotron AV</t>
  </si>
  <si>
    <t>&gt;85</t>
  </si>
  <si>
    <t>Nix Stix Mold Release</t>
  </si>
  <si>
    <t>Tekmar</t>
  </si>
  <si>
    <t>Formula TS-5</t>
  </si>
  <si>
    <t>Metal surface treatment</t>
  </si>
  <si>
    <t>Vishay Measurements Group</t>
  </si>
  <si>
    <t>CSM-3</t>
  </si>
  <si>
    <t>Wego Chemical</t>
  </si>
  <si>
    <t>Trans-1,2-Dichloroethylene</t>
  </si>
  <si>
    <t>100</t>
  </si>
  <si>
    <t>Wilsonart</t>
  </si>
  <si>
    <t>WA NF742/NF743 Canister Adhesive</t>
  </si>
  <si>
    <t>SPR - Heavy Duty Flux Remover - Suprclean, Bulk</t>
  </si>
  <si>
    <t>Lookup Value</t>
  </si>
  <si>
    <t>Exposure Results</t>
  </si>
  <si>
    <t>Provides the release results for the dermal exposure Monte Carlo simulation. Certain cells will appear with the "#NAME?" error indicator if a user does not have the program @Risk. The user must not alter this worksheet.</t>
  </si>
  <si>
    <t>Static Exposure Results</t>
  </si>
  <si>
    <t>Provides the static release results from running the dermal exposure simulation with the specified parameters. @Risk not needed to view this worksheet.</t>
  </si>
  <si>
    <t>PUBLIC RELEASE DRAFT</t>
  </si>
  <si>
    <t>July 2026</t>
  </si>
  <si>
    <t>JULY 20206</t>
  </si>
  <si>
    <r>
      <t xml:space="preserve">Draft Occupational Dermal Exposure Model
for </t>
    </r>
    <r>
      <rPr>
        <b/>
        <i/>
        <sz val="18"/>
        <color rgb="FF000000"/>
        <rFont val="Times New Roman"/>
        <family val="1"/>
      </rPr>
      <t>trans</t>
    </r>
    <r>
      <rPr>
        <b/>
        <sz val="18"/>
        <color rgb="FF000000"/>
        <rFont val="Times New Roman"/>
        <family val="1"/>
      </rPr>
      <t xml:space="preserve">-1,2-Dichloroethylene </t>
    </r>
  </si>
  <si>
    <t>CASRN 156-60-5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</si>
</sst>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11"/>
      <name val="Aptos Narrow"/>
      <family val="2"/>
      <scheme val="minor"/>
    </font>
    <font>
      <vertAlign val="subscript"/>
      <sz val="11"/>
      <color theme="1"/>
      <name val="Aptos Narrow"/>
      <family val="2"/>
      <scheme val="minor"/>
    </font>
    <font>
      <vertAlign val="superscript"/>
      <sz val="11"/>
      <color theme="1"/>
      <name val="Aptos Narrow"/>
      <family val="2"/>
      <scheme val="minor"/>
    </font>
    <font>
      <sz val="8"/>
      <name val="Aptos Narrow"/>
      <family val="2"/>
      <scheme val="minor"/>
    </font>
    <font>
      <b/>
      <sz val="15"/>
      <color theme="3"/>
      <name val="Aptos Narrow"/>
      <family val="2"/>
      <scheme val="minor"/>
    </font>
    <font>
      <b/>
      <sz val="18"/>
      <color theme="3"/>
      <name val="Aptos Narrow"/>
      <family val="2"/>
      <scheme val="minor"/>
    </font>
    <font>
      <sz val="12"/>
      <color theme="1"/>
      <name val="Aptos Narrow"/>
      <family val="2"/>
      <scheme val="minor"/>
    </font>
    <font>
      <b/>
      <sz val="12"/>
      <color theme="1"/>
      <name val="Aptos Narrow"/>
      <family val="2"/>
      <scheme val="minor"/>
    </font>
    <font>
      <sz val="10"/>
      <name val="Aptos Narrow"/>
      <family val="2"/>
      <scheme val="minor"/>
    </font>
    <font>
      <sz val="11"/>
      <color rgb="FFC00000"/>
      <name val="Aptos Narrow"/>
      <family val="2"/>
      <scheme val="minor"/>
    </font>
    <font>
      <b/>
      <vertAlign val="subscript"/>
      <sz val="11"/>
      <color theme="1"/>
      <name val="Aptos Narrow"/>
      <family val="2"/>
      <scheme val="minor"/>
    </font>
    <font>
      <sz val="11"/>
      <color rgb="FFFF0000"/>
      <name val="Times New Roman"/>
      <family val="1"/>
    </font>
    <font>
      <b/>
      <sz val="18"/>
      <color rgb="FF000000"/>
      <name val="Times New Roman"/>
      <family val="1"/>
    </font>
    <font>
      <b/>
      <i/>
      <sz val="18"/>
      <color rgb="FF000000"/>
      <name val="Times New Roman"/>
      <family val="1"/>
    </font>
    <font>
      <b/>
      <sz val="14"/>
      <color theme="1"/>
      <name val="Times New Roman"/>
      <family val="1"/>
    </font>
    <font>
      <sz val="12"/>
      <color theme="1"/>
      <name val="Times New Roman"/>
      <family val="1"/>
    </font>
    <font>
      <b/>
      <sz val="12"/>
      <color theme="1"/>
      <name val="Times New Roman"/>
      <family val="1"/>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79998168889431442"/>
        <bgColor indexed="65"/>
      </patternFill>
    </fill>
    <fill>
      <patternFill patternType="solid">
        <fgColor rgb="FFFF0000"/>
        <bgColor indexed="64"/>
      </patternFill>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bottom style="thick">
        <color theme="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 fillId="4" borderId="0" applyNumberFormat="0" applyBorder="0" applyAlignment="0" applyProtection="0"/>
    <xf numFmtId="0" fontId="7" fillId="0" borderId="13" applyNumberFormat="0" applyFill="0" applyAlignment="0" applyProtection="0"/>
  </cellStyleXfs>
  <cellXfs count="136">
    <xf numFmtId="0" fontId="0" fillId="0" borderId="0" xfId="0"/>
    <xf numFmtId="0" fontId="14" fillId="0" borderId="0" xfId="0" applyFont="1" applyAlignment="1" applyProtection="1">
      <alignment horizontal="center"/>
    </xf>
    <xf numFmtId="0" fontId="0" fillId="0" borderId="0" xfId="0" applyProtection="1"/>
    <xf numFmtId="0" fontId="15" fillId="2" borderId="0" xfId="0" applyFont="1" applyFill="1" applyAlignment="1" applyProtection="1">
      <alignment horizontal="center" vertical="center" wrapText="1"/>
    </xf>
    <xf numFmtId="0" fontId="0" fillId="0" borderId="0" xfId="0" applyAlignment="1" applyProtection="1">
      <alignment horizontal="center"/>
    </xf>
    <xf numFmtId="0" fontId="17" fillId="0" borderId="0" xfId="0" applyFont="1" applyAlignment="1" applyProtection="1">
      <alignment horizontal="center" vertical="center"/>
    </xf>
    <xf numFmtId="0" fontId="18" fillId="0" borderId="0" xfId="0" applyFont="1" applyAlignment="1" applyProtection="1">
      <alignment horizontal="center"/>
    </xf>
    <xf numFmtId="49" fontId="19" fillId="0" borderId="0" xfId="0" applyNumberFormat="1" applyFont="1" applyAlignment="1" applyProtection="1">
      <alignment horizontal="left"/>
    </xf>
    <xf numFmtId="49" fontId="18" fillId="0" borderId="0" xfId="0" applyNumberFormat="1" applyFont="1" applyAlignment="1" applyProtection="1">
      <alignment horizontal="center" vertical="center"/>
    </xf>
    <xf numFmtId="0" fontId="0" fillId="2" borderId="0" xfId="0" applyFill="1" applyProtection="1"/>
    <xf numFmtId="0" fontId="8" fillId="2" borderId="0" xfId="2" applyFont="1" applyFill="1" applyBorder="1" applyAlignment="1" applyProtection="1">
      <alignment horizontal="center"/>
    </xf>
    <xf numFmtId="0" fontId="7" fillId="2" borderId="14" xfId="2" applyFill="1" applyBorder="1" applyAlignment="1" applyProtection="1">
      <alignment horizontal="center"/>
    </xf>
    <xf numFmtId="0" fontId="7" fillId="2" borderId="15" xfId="2" applyFill="1" applyBorder="1" applyAlignment="1" applyProtection="1">
      <alignment horizontal="center"/>
    </xf>
    <xf numFmtId="0" fontId="9" fillId="4" borderId="16" xfId="1" applyFont="1" applyBorder="1" applyAlignment="1" applyProtection="1">
      <alignment wrapText="1"/>
    </xf>
    <xf numFmtId="0" fontId="9" fillId="4" borderId="17" xfId="1" applyFont="1" applyBorder="1" applyAlignment="1" applyProtection="1">
      <alignment wrapText="1"/>
    </xf>
    <xf numFmtId="0" fontId="9" fillId="4" borderId="5" xfId="1" applyFont="1" applyBorder="1" applyAlignment="1" applyProtection="1">
      <alignment wrapText="1"/>
    </xf>
    <xf numFmtId="0" fontId="9" fillId="4" borderId="6" xfId="1" applyFont="1" applyBorder="1" applyAlignment="1" applyProtection="1">
      <alignment wrapText="1"/>
    </xf>
    <xf numFmtId="0" fontId="9" fillId="4" borderId="7" xfId="1" applyFont="1" applyBorder="1" applyAlignment="1" applyProtection="1">
      <alignment wrapText="1"/>
    </xf>
    <xf numFmtId="0" fontId="9" fillId="4" borderId="9" xfId="1" applyFont="1" applyBorder="1" applyAlignment="1" applyProtection="1">
      <alignment wrapText="1"/>
    </xf>
    <xf numFmtId="0" fontId="10" fillId="2" borderId="0" xfId="0" applyFont="1" applyFill="1" applyProtection="1"/>
    <xf numFmtId="0" fontId="0" fillId="2" borderId="0" xfId="0" applyFill="1" applyAlignment="1" applyProtection="1">
      <alignment horizontal="left" vertical="top" wrapText="1"/>
    </xf>
    <xf numFmtId="0" fontId="0" fillId="2" borderId="1" xfId="0" applyFill="1" applyBorder="1" applyProtection="1"/>
    <xf numFmtId="0" fontId="2" fillId="3" borderId="1" xfId="0" applyFont="1" applyFill="1" applyBorder="1" applyAlignment="1" applyProtection="1">
      <alignment horizontal="left" wrapText="1"/>
    </xf>
    <xf numFmtId="0" fontId="2" fillId="3" borderId="1" xfId="0" applyFont="1" applyFill="1" applyBorder="1" applyAlignment="1" applyProtection="1">
      <alignment horizontal="center" wrapText="1"/>
    </xf>
    <xf numFmtId="0" fontId="2" fillId="3" borderId="1" xfId="0" applyFont="1" applyFill="1" applyBorder="1" applyAlignment="1" applyProtection="1">
      <alignment horizontal="center"/>
    </xf>
    <xf numFmtId="0" fontId="2" fillId="3" borderId="10" xfId="0" quotePrefix="1" applyFont="1" applyFill="1" applyBorder="1" applyAlignment="1" applyProtection="1">
      <alignment horizontal="center" wrapText="1"/>
    </xf>
    <xf numFmtId="0" fontId="0" fillId="2" borderId="0" xfId="0" applyFill="1" applyAlignment="1" applyProtection="1">
      <alignment horizontal="center" wrapText="1"/>
    </xf>
    <xf numFmtId="0" fontId="2" fillId="3" borderId="1" xfId="0" applyFont="1" applyFill="1" applyBorder="1" applyAlignment="1" applyProtection="1">
      <alignment horizontal="center" wrapText="1"/>
    </xf>
    <xf numFmtId="0" fontId="2" fillId="3" borderId="11" xfId="0" quotePrefix="1" applyFont="1" applyFill="1" applyBorder="1" applyAlignment="1" applyProtection="1">
      <alignment horizontal="center" wrapText="1"/>
    </xf>
    <xf numFmtId="0" fontId="0" fillId="2" borderId="0" xfId="0" applyFill="1" applyAlignment="1" applyProtection="1">
      <alignment horizontal="center"/>
    </xf>
    <xf numFmtId="0" fontId="0" fillId="2" borderId="1" xfId="0" applyFill="1" applyBorder="1" applyAlignment="1" applyProtection="1">
      <alignment vertical="center" wrapText="1"/>
    </xf>
    <xf numFmtId="0" fontId="0" fillId="2" borderId="1" xfId="0" applyFill="1" applyBorder="1" applyAlignment="1" applyProtection="1">
      <alignment vertical="center"/>
    </xf>
    <xf numFmtId="0" fontId="0" fillId="2" borderId="1" xfId="0" applyFill="1" applyBorder="1" applyAlignment="1" applyProtection="1">
      <alignment horizontal="left" vertical="center"/>
    </xf>
    <xf numFmtId="0" fontId="0" fillId="2" borderId="1" xfId="0" applyFill="1" applyBorder="1" applyAlignment="1" applyProtection="1">
      <alignment horizontal="right" vertical="center"/>
    </xf>
    <xf numFmtId="0" fontId="0" fillId="2" borderId="1" xfId="0" quotePrefix="1" applyFill="1" applyBorder="1" applyAlignment="1" applyProtection="1">
      <alignment horizontal="right" vertical="center"/>
    </xf>
    <xf numFmtId="0" fontId="0" fillId="2" borderId="1" xfId="0" applyFill="1" applyBorder="1" applyAlignment="1" applyProtection="1">
      <alignment horizontal="left" vertical="top" wrapText="1"/>
    </xf>
    <xf numFmtId="0" fontId="0" fillId="2" borderId="1" xfId="0" applyFill="1" applyBorder="1" applyAlignment="1" applyProtection="1">
      <alignment wrapText="1"/>
    </xf>
    <xf numFmtId="0" fontId="0" fillId="2" borderId="10" xfId="0" applyFill="1" applyBorder="1" applyAlignment="1" applyProtection="1">
      <alignment horizontal="left" vertical="center"/>
    </xf>
    <xf numFmtId="0" fontId="0" fillId="2" borderId="0" xfId="0" applyFill="1" applyAlignment="1" applyProtection="1">
      <alignment horizontal="center" vertical="center"/>
    </xf>
    <xf numFmtId="0" fontId="0" fillId="0" borderId="1" xfId="0" applyBorder="1" applyAlignment="1" applyProtection="1">
      <alignment horizontal="right" vertical="center"/>
    </xf>
    <xf numFmtId="0" fontId="0" fillId="2" borderId="12" xfId="0" applyFill="1" applyBorder="1" applyAlignment="1" applyProtection="1">
      <alignment horizontal="center" vertical="center"/>
    </xf>
    <xf numFmtId="0" fontId="0" fillId="2" borderId="19" xfId="0" applyFill="1" applyBorder="1" applyAlignment="1" applyProtection="1">
      <alignment horizontal="center" vertical="center"/>
    </xf>
    <xf numFmtId="0" fontId="0" fillId="2" borderId="0" xfId="0" applyFill="1" applyAlignment="1" applyProtection="1">
      <alignment horizontal="center" vertical="center" wrapText="1"/>
    </xf>
    <xf numFmtId="0" fontId="0" fillId="2" borderId="1" xfId="0" applyFill="1" applyBorder="1" applyAlignment="1" applyProtection="1">
      <alignment horizontal="left" vertical="center" wrapText="1"/>
    </xf>
    <xf numFmtId="0" fontId="0" fillId="2" borderId="1" xfId="0" quotePrefix="1" applyFill="1" applyBorder="1" applyAlignment="1" applyProtection="1">
      <alignment horizontal="right" vertical="center" wrapText="1"/>
    </xf>
    <xf numFmtId="0" fontId="0" fillId="2" borderId="1" xfId="0" applyFill="1" applyBorder="1" applyAlignment="1" applyProtection="1">
      <alignment horizontal="right" vertical="center" wrapText="1"/>
    </xf>
    <xf numFmtId="0" fontId="0" fillId="2" borderId="0" xfId="0" applyFill="1" applyAlignment="1" applyProtection="1">
      <alignment wrapText="1"/>
    </xf>
    <xf numFmtId="0" fontId="0" fillId="0" borderId="1" xfId="0" applyBorder="1" applyAlignment="1" applyProtection="1">
      <alignment vertical="top" wrapText="1"/>
    </xf>
    <xf numFmtId="0" fontId="0" fillId="0" borderId="1" xfId="0" applyBorder="1" applyAlignment="1" applyProtection="1">
      <alignment wrapText="1"/>
    </xf>
    <xf numFmtId="0" fontId="0" fillId="2" borderId="0" xfId="0" applyFill="1" applyAlignment="1" applyProtection="1">
      <alignment vertical="center"/>
    </xf>
    <xf numFmtId="0" fontId="2" fillId="3" borderId="1" xfId="0" applyFont="1" applyFill="1" applyBorder="1" applyAlignment="1" applyProtection="1">
      <alignment wrapText="1"/>
    </xf>
    <xf numFmtId="0" fontId="2" fillId="3" borderId="1" xfId="0" applyFont="1" applyFill="1" applyBorder="1" applyAlignment="1" applyProtection="1">
      <alignment horizontal="left" wrapText="1"/>
    </xf>
    <xf numFmtId="0" fontId="2" fillId="3" borderId="1" xfId="0" applyFont="1" applyFill="1" applyBorder="1" applyAlignment="1" applyProtection="1">
      <alignment horizontal="left"/>
    </xf>
    <xf numFmtId="0" fontId="0" fillId="2" borderId="1" xfId="0" applyFill="1" applyBorder="1" applyAlignment="1" applyProtection="1">
      <alignment horizontal="left" wrapText="1"/>
    </xf>
    <xf numFmtId="0" fontId="0" fillId="2" borderId="1" xfId="0" applyFill="1" applyBorder="1" applyAlignment="1" applyProtection="1">
      <alignment horizontal="center"/>
    </xf>
    <xf numFmtId="0" fontId="0" fillId="2" borderId="12" xfId="0" applyFill="1" applyBorder="1" applyAlignment="1" applyProtection="1">
      <alignment horizontal="left" wrapText="1"/>
    </xf>
    <xf numFmtId="0" fontId="0" fillId="2" borderId="18" xfId="0" applyFill="1" applyBorder="1" applyAlignment="1" applyProtection="1">
      <alignment horizontal="left" wrapText="1"/>
    </xf>
    <xf numFmtId="0" fontId="0" fillId="2" borderId="19" xfId="0" applyFill="1" applyBorder="1" applyAlignment="1" applyProtection="1">
      <alignment horizontal="left" wrapText="1"/>
    </xf>
    <xf numFmtId="0" fontId="0" fillId="2" borderId="1" xfId="0" applyFill="1" applyBorder="1" applyAlignment="1" applyProtection="1">
      <alignment horizontal="left"/>
    </xf>
    <xf numFmtId="0" fontId="2" fillId="0" borderId="0" xfId="0" applyFont="1" applyProtection="1"/>
    <xf numFmtId="0" fontId="3" fillId="3" borderId="1" xfId="0" applyFont="1" applyFill="1" applyBorder="1" applyAlignment="1" applyProtection="1">
      <alignment horizontal="left" wrapText="1"/>
    </xf>
    <xf numFmtId="0" fontId="2" fillId="3" borderId="11" xfId="0" applyFont="1" applyFill="1" applyBorder="1" applyAlignment="1" applyProtection="1">
      <alignment wrapText="1"/>
    </xf>
    <xf numFmtId="0" fontId="2" fillId="3" borderId="11" xfId="0" applyFont="1" applyFill="1" applyBorder="1" applyAlignment="1" applyProtection="1">
      <alignment horizontal="left" wrapText="1"/>
    </xf>
    <xf numFmtId="0" fontId="2" fillId="2" borderId="1" xfId="0" applyFont="1" applyFill="1" applyBorder="1" applyProtection="1"/>
    <xf numFmtId="0" fontId="2" fillId="2" borderId="1" xfId="0" applyFont="1" applyFill="1" applyBorder="1" applyAlignment="1" applyProtection="1">
      <alignment horizontal="center" wrapText="1"/>
    </xf>
    <xf numFmtId="0" fontId="2" fillId="2" borderId="1" xfId="0" applyFont="1" applyFill="1" applyBorder="1" applyAlignment="1" applyProtection="1">
      <alignment horizontal="center" wrapText="1"/>
    </xf>
    <xf numFmtId="0" fontId="0" fillId="2" borderId="1" xfId="0" applyFill="1" applyBorder="1" applyAlignment="1" applyProtection="1">
      <alignment horizontal="left"/>
    </xf>
    <xf numFmtId="0" fontId="0" fillId="2" borderId="1" xfId="0" applyFill="1" applyBorder="1" applyAlignment="1" applyProtection="1">
      <alignment horizontal="center"/>
    </xf>
    <xf numFmtId="164" fontId="0" fillId="2" borderId="1" xfId="0" applyNumberFormat="1" applyFill="1" applyBorder="1" applyAlignment="1" applyProtection="1">
      <alignment horizontal="center"/>
    </xf>
    <xf numFmtId="0" fontId="2" fillId="3" borderId="12" xfId="0" applyFont="1" applyFill="1" applyBorder="1" applyAlignment="1" applyProtection="1">
      <alignment horizontal="center"/>
    </xf>
    <xf numFmtId="0" fontId="2" fillId="3" borderId="19" xfId="0" applyFont="1" applyFill="1" applyBorder="1" applyAlignment="1" applyProtection="1">
      <alignment horizontal="center"/>
    </xf>
    <xf numFmtId="0" fontId="0" fillId="0" borderId="1" xfId="0" applyBorder="1" applyProtection="1"/>
    <xf numFmtId="9" fontId="0" fillId="0" borderId="1" xfId="0" applyNumberFormat="1" applyBorder="1" applyAlignment="1" applyProtection="1">
      <alignment horizontal="center"/>
    </xf>
    <xf numFmtId="165" fontId="0" fillId="2" borderId="1" xfId="0" applyNumberFormat="1" applyFill="1" applyBorder="1" applyAlignment="1" applyProtection="1">
      <alignment horizontal="center"/>
    </xf>
    <xf numFmtId="1" fontId="0" fillId="0" borderId="1" xfId="0" applyNumberFormat="1" applyBorder="1" applyAlignment="1" applyProtection="1">
      <alignment horizontal="center"/>
    </xf>
    <xf numFmtId="0" fontId="0" fillId="0" borderId="0" xfId="0" applyAlignment="1" applyProtection="1">
      <alignment wrapText="1"/>
    </xf>
    <xf numFmtId="10" fontId="0" fillId="0" borderId="1" xfId="0" applyNumberFormat="1" applyBorder="1" applyAlignment="1" applyProtection="1">
      <alignment horizontal="center"/>
    </xf>
    <xf numFmtId="166" fontId="0" fillId="0" borderId="1" xfId="0" applyNumberFormat="1" applyBorder="1" applyAlignment="1" applyProtection="1">
      <alignment horizontal="center"/>
    </xf>
    <xf numFmtId="0" fontId="3" fillId="3" borderId="2" xfId="0" applyFont="1" applyFill="1" applyBorder="1" applyAlignment="1" applyProtection="1">
      <alignment horizontal="left" wrapText="1"/>
    </xf>
    <xf numFmtId="0" fontId="3" fillId="3" borderId="3" xfId="0" applyFont="1" applyFill="1" applyBorder="1" applyAlignment="1" applyProtection="1">
      <alignment horizontal="left"/>
    </xf>
    <xf numFmtId="0" fontId="3" fillId="3" borderId="3" xfId="0" applyFont="1" applyFill="1" applyBorder="1" applyAlignment="1" applyProtection="1">
      <alignment wrapText="1"/>
    </xf>
    <xf numFmtId="0" fontId="3" fillId="3" borderId="4" xfId="0" applyFont="1" applyFill="1" applyBorder="1" applyAlignment="1" applyProtection="1">
      <alignment horizontal="center"/>
    </xf>
    <xf numFmtId="0" fontId="0" fillId="2" borderId="5" xfId="0" applyFill="1" applyBorder="1" applyAlignment="1" applyProtection="1">
      <alignment wrapText="1"/>
    </xf>
    <xf numFmtId="0" fontId="0" fillId="2" borderId="6" xfId="0" applyFill="1" applyBorder="1" applyProtection="1"/>
    <xf numFmtId="0" fontId="0" fillId="2" borderId="7" xfId="0" applyFill="1" applyBorder="1" applyAlignment="1" applyProtection="1">
      <alignment wrapText="1"/>
    </xf>
    <xf numFmtId="0" fontId="0" fillId="2" borderId="8" xfId="0" applyFill="1" applyBorder="1" applyProtection="1"/>
    <xf numFmtId="0" fontId="0" fillId="2" borderId="9" xfId="0" applyFill="1" applyBorder="1" applyProtection="1"/>
    <xf numFmtId="0" fontId="0" fillId="2" borderId="2" xfId="0" applyFill="1" applyBorder="1" applyAlignment="1" applyProtection="1">
      <alignment wrapText="1"/>
    </xf>
    <xf numFmtId="0" fontId="0" fillId="2" borderId="3" xfId="0" applyFill="1" applyBorder="1" applyProtection="1"/>
    <xf numFmtId="0" fontId="0" fillId="2" borderId="3" xfId="0" applyFill="1" applyBorder="1" applyAlignment="1" applyProtection="1">
      <alignment wrapText="1"/>
    </xf>
    <xf numFmtId="0" fontId="0" fillId="2" borderId="4" xfId="0" applyFill="1" applyBorder="1" applyProtection="1"/>
    <xf numFmtId="0" fontId="0" fillId="2" borderId="16" xfId="0" applyFill="1" applyBorder="1" applyAlignment="1" applyProtection="1">
      <alignment wrapText="1"/>
    </xf>
    <xf numFmtId="0" fontId="0" fillId="2" borderId="11" xfId="0" applyFill="1" applyBorder="1" applyProtection="1"/>
    <xf numFmtId="0" fontId="0" fillId="2" borderId="11" xfId="0" applyFill="1" applyBorder="1" applyAlignment="1" applyProtection="1">
      <alignment wrapText="1"/>
    </xf>
    <xf numFmtId="0" fontId="0" fillId="2" borderId="17" xfId="0" applyFill="1" applyBorder="1" applyProtection="1"/>
    <xf numFmtId="0" fontId="2" fillId="6" borderId="1" xfId="0" applyFont="1" applyFill="1" applyBorder="1" applyAlignment="1" applyProtection="1">
      <alignment horizontal="center" wrapText="1"/>
    </xf>
    <xf numFmtId="3" fontId="0" fillId="2" borderId="1" xfId="0" applyNumberFormat="1" applyFill="1" applyBorder="1" applyAlignment="1" applyProtection="1">
      <alignment horizontal="center"/>
    </xf>
    <xf numFmtId="0" fontId="2" fillId="6" borderId="1" xfId="0" applyFont="1" applyFill="1" applyBorder="1" applyAlignment="1" applyProtection="1">
      <alignment horizontal="center"/>
    </xf>
    <xf numFmtId="0" fontId="2" fillId="6" borderId="1" xfId="0" applyFont="1" applyFill="1" applyBorder="1" applyAlignment="1" applyProtection="1">
      <alignment wrapText="1"/>
    </xf>
    <xf numFmtId="0" fontId="0" fillId="0" borderId="1" xfId="0" applyBorder="1" applyAlignment="1" applyProtection="1">
      <alignment horizontal="left" vertical="top"/>
    </xf>
    <xf numFmtId="0" fontId="0" fillId="2" borderId="1" xfId="0" applyFill="1" applyBorder="1" applyAlignment="1" applyProtection="1">
      <alignment horizontal="right" wrapText="1"/>
    </xf>
    <xf numFmtId="165" fontId="11" fillId="2" borderId="1" xfId="0" applyNumberFormat="1" applyFont="1" applyFill="1" applyBorder="1" applyAlignment="1" applyProtection="1">
      <alignment horizontal="center" vertical="center"/>
    </xf>
    <xf numFmtId="0" fontId="0" fillId="0" borderId="1" xfId="0" applyBorder="1" applyAlignment="1" applyProtection="1">
      <alignment horizontal="left" vertical="top" wrapText="1"/>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0" fillId="0" borderId="5" xfId="0" applyBorder="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3" fillId="3" borderId="1" xfId="0" applyFont="1" applyFill="1" applyBorder="1" applyAlignment="1" applyProtection="1">
      <alignment horizontal="center"/>
    </xf>
    <xf numFmtId="0" fontId="3" fillId="3" borderId="1" xfId="0" applyFont="1" applyFill="1" applyBorder="1" applyAlignment="1" applyProtection="1">
      <alignment horizontal="left"/>
    </xf>
    <xf numFmtId="0" fontId="3" fillId="3" borderId="1" xfId="0" applyFont="1" applyFill="1" applyBorder="1" applyAlignment="1" applyProtection="1">
      <alignment horizontal="center"/>
    </xf>
    <xf numFmtId="0" fontId="0" fillId="0" borderId="1" xfId="0" applyBorder="1" applyAlignment="1" applyProtection="1">
      <alignment horizontal="left" vertical="top" wrapText="1"/>
    </xf>
    <xf numFmtId="9" fontId="0" fillId="0" borderId="1" xfId="0" applyNumberFormat="1" applyBorder="1" applyAlignment="1" applyProtection="1">
      <alignment horizontal="center" vertical="top" wrapText="1"/>
    </xf>
    <xf numFmtId="0" fontId="0" fillId="0" borderId="1" xfId="0" applyBorder="1" applyAlignment="1" applyProtection="1">
      <alignment horizontal="center"/>
    </xf>
    <xf numFmtId="0" fontId="0" fillId="0" borderId="1" xfId="0" applyBorder="1" applyAlignment="1" applyProtection="1">
      <alignment horizontal="left"/>
    </xf>
    <xf numFmtId="0" fontId="0" fillId="0" borderId="1" xfId="0" applyBorder="1" applyAlignment="1" applyProtection="1">
      <alignment horizontal="center" vertical="top" wrapText="1"/>
    </xf>
    <xf numFmtId="49" fontId="0" fillId="0" borderId="1" xfId="0" applyNumberFormat="1" applyBorder="1" applyAlignment="1" applyProtection="1">
      <alignment horizontal="center" vertical="top" wrapText="1"/>
    </xf>
    <xf numFmtId="0" fontId="12" fillId="0" borderId="1" xfId="0" applyFont="1" applyBorder="1" applyProtection="1"/>
    <xf numFmtId="0" fontId="12" fillId="0" borderId="1" xfId="0" applyFont="1" applyBorder="1" applyAlignment="1" applyProtection="1">
      <alignment horizontal="left" vertical="top" wrapText="1"/>
    </xf>
    <xf numFmtId="49" fontId="12" fillId="0" borderId="1" xfId="0" applyNumberFormat="1" applyFont="1" applyBorder="1" applyAlignment="1" applyProtection="1">
      <alignment horizontal="center" vertical="top" wrapText="1"/>
    </xf>
    <xf numFmtId="0" fontId="12" fillId="0" borderId="1" xfId="0" applyFont="1" applyBorder="1" applyAlignment="1" applyProtection="1">
      <alignment horizontal="center"/>
    </xf>
    <xf numFmtId="0" fontId="12" fillId="0" borderId="1" xfId="0" applyFont="1" applyBorder="1" applyAlignment="1" applyProtection="1">
      <alignment horizontal="left"/>
    </xf>
    <xf numFmtId="0" fontId="0" fillId="5" borderId="1" xfId="0" applyFill="1" applyBorder="1" applyProtection="1"/>
    <xf numFmtId="0" fontId="0" fillId="5" borderId="0" xfId="0" applyFill="1" applyProtection="1"/>
    <xf numFmtId="0" fontId="0" fillId="5" borderId="1" xfId="0" applyFill="1" applyBorder="1" applyAlignment="1" applyProtection="1">
      <alignment horizontal="left" vertical="top" wrapText="1"/>
    </xf>
    <xf numFmtId="49" fontId="0" fillId="5" borderId="1" xfId="0" applyNumberFormat="1" applyFill="1" applyBorder="1" applyAlignment="1" applyProtection="1">
      <alignment horizontal="center" vertical="top" wrapText="1"/>
    </xf>
    <xf numFmtId="0" fontId="0" fillId="5" borderId="1" xfId="0" applyFill="1" applyBorder="1" applyAlignment="1" applyProtection="1">
      <alignment horizontal="center"/>
    </xf>
    <xf numFmtId="0" fontId="0" fillId="5" borderId="1" xfId="0" applyFill="1" applyBorder="1" applyAlignment="1" applyProtection="1">
      <alignment horizontal="left"/>
    </xf>
    <xf numFmtId="0" fontId="11" fillId="0" borderId="1" xfId="0" applyFont="1" applyBorder="1" applyAlignment="1" applyProtection="1">
      <alignment horizontal="left" vertical="top" wrapText="1"/>
    </xf>
    <xf numFmtId="0" fontId="0" fillId="0" borderId="0" xfId="0" applyAlignment="1" applyProtection="1">
      <alignment horizontal="left"/>
    </xf>
    <xf numFmtId="0" fontId="0" fillId="0" borderId="20" xfId="0" applyBorder="1" applyProtection="1"/>
    <xf numFmtId="0" fontId="2" fillId="3" borderId="10" xfId="0" applyFont="1" applyFill="1" applyBorder="1" applyAlignment="1" applyProtection="1">
      <alignment horizontal="center"/>
    </xf>
    <xf numFmtId="0" fontId="2" fillId="3" borderId="11" xfId="0" applyFont="1" applyFill="1" applyBorder="1" applyAlignment="1" applyProtection="1">
      <alignment horizontal="center"/>
    </xf>
  </cellXfs>
  <cellStyles count="3">
    <cellStyle name="20% - Accent1" xfId="1" builtinId="30"/>
    <cellStyle name="Heading 1" xfId="2" builtinId="16"/>
    <cellStyle name="Normal" xfId="0" builtinId="0"/>
  </cellStyles>
  <dxfs count="14">
    <dxf>
      <font>
        <color theme="0"/>
      </font>
    </dxf>
    <dxf>
      <fill>
        <patternFill>
          <bgColor theme="0"/>
        </patternFill>
      </fill>
    </dxf>
    <dxf>
      <numFmt numFmtId="167" formatCode="0.0E+00"/>
    </dxf>
    <dxf>
      <numFmt numFmtId="4" formatCode="#,##0.00"/>
    </dxf>
    <dxf>
      <numFmt numFmtId="168" formatCode="#,##0.0"/>
    </dxf>
    <dxf>
      <numFmt numFmtId="3" formatCode="#,##0"/>
    </dxf>
    <dxf>
      <numFmt numFmtId="167" formatCode="0.0E+00"/>
    </dxf>
    <dxf>
      <font>
        <color theme="0"/>
      </font>
    </dxf>
    <dxf>
      <fill>
        <patternFill>
          <bgColor theme="0"/>
        </patternFill>
      </fill>
    </dxf>
    <dxf>
      <numFmt numFmtId="167" formatCode="0.0E+00"/>
    </dxf>
    <dxf>
      <numFmt numFmtId="4" formatCode="#,##0.00"/>
    </dxf>
    <dxf>
      <numFmt numFmtId="168" formatCode="#,##0.0"/>
    </dxf>
    <dxf>
      <numFmt numFmtId="3" formatCode="#,##0"/>
    </dxf>
    <dxf>
      <numFmt numFmtId="167" formatCode="0.0E+0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3079750</xdr:colOff>
          <xdr:row>9</xdr:row>
          <xdr:rowOff>127000</xdr:rowOff>
        </xdr:from>
        <xdr:to>
          <xdr:col>0</xdr:col>
          <xdr:colOff>4870450</xdr:colOff>
          <xdr:row>19</xdr:row>
          <xdr:rowOff>69850</xdr:rowOff>
        </xdr:to>
        <xdr:sp macro="" textlink="">
          <xdr:nvSpPr>
            <xdr:cNvPr id="13313" name="Object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asternresearchgroup.sharepoint.com/sites/TSCARiskEvaluations/Shared%20Documents/Chlorinated%20Solvents/Monte%20Carlo%20Simulations/1,1,2-TCA/Dermal%20Exposures/1,1,2-TCA%20Dermal%20Exposure%20Model_2026.01.05.xlsm" TargetMode="External"/><Relationship Id="rId1" Type="http://schemas.openxmlformats.org/officeDocument/2006/relationships/externalLinkPath" Target="https://easternresearchgroup.sharepoint.com/sites/TSCARiskEvaluations/Shared%20Documents/Chlorinated%20Solvents/Monte%20Carlo%20Simulations/1,1,2-TCA/Dermal%20Exposures/1,1,2-TCA%20Dermal%20Exposure%20Model_2026.01.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age"/>
      <sheetName val="ReadMe"/>
      <sheetName val="Methodology"/>
      <sheetName val="Parameters"/>
      <sheetName val="Calculations"/>
      <sheetName val="Exposure Results"/>
      <sheetName val="Static Exposure Results"/>
      <sheetName val="Chemistry"/>
      <sheetName val="Products"/>
      <sheetName val="OES Lookup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4820-325B-44E8-8F7F-D1760EBAC82D}">
  <sheetPr codeName="Sheet1"/>
  <dimension ref="A1:E23"/>
  <sheetViews>
    <sheetView showGridLines="0" tabSelected="1" zoomScaleNormal="100" workbookViewId="0"/>
  </sheetViews>
  <sheetFormatPr defaultRowHeight="14.5" x14ac:dyDescent="0.35"/>
  <cols>
    <col min="1" max="1" width="112.7265625" style="2" customWidth="1"/>
    <col min="2" max="16384" width="8.7265625" style="2"/>
  </cols>
  <sheetData>
    <row r="1" spans="1:5" x14ac:dyDescent="0.35">
      <c r="A1" s="1" t="s">
        <v>700</v>
      </c>
    </row>
    <row r="2" spans="1:5" x14ac:dyDescent="0.35">
      <c r="A2" s="1" t="s">
        <v>702</v>
      </c>
    </row>
    <row r="5" spans="1:5" ht="50.5" customHeight="1" x14ac:dyDescent="0.35">
      <c r="A5" s="3" t="s">
        <v>703</v>
      </c>
      <c r="B5" s="3"/>
      <c r="C5" s="3"/>
      <c r="D5" s="3"/>
      <c r="E5" s="3"/>
    </row>
    <row r="6" spans="1:5" x14ac:dyDescent="0.35">
      <c r="A6" s="4"/>
    </row>
    <row r="7" spans="1:5" ht="17.5" x14ac:dyDescent="0.35">
      <c r="A7" s="5" t="s">
        <v>704</v>
      </c>
    </row>
    <row r="8" spans="1:5" ht="15.5" x14ac:dyDescent="0.35">
      <c r="A8" s="6"/>
    </row>
    <row r="9" spans="1:5" x14ac:dyDescent="0.35">
      <c r="A9" s="4"/>
    </row>
    <row r="10" spans="1:5" x14ac:dyDescent="0.35">
      <c r="A10" s="4"/>
    </row>
    <row r="11" spans="1:5" x14ac:dyDescent="0.35">
      <c r="A11" s="4"/>
    </row>
    <row r="12" spans="1:5" x14ac:dyDescent="0.35">
      <c r="A12" s="4"/>
    </row>
    <row r="13" spans="1:5" x14ac:dyDescent="0.35">
      <c r="A13" s="4"/>
    </row>
    <row r="14" spans="1:5" x14ac:dyDescent="0.35">
      <c r="A14" s="4"/>
    </row>
    <row r="17" spans="1:1" ht="15.5" x14ac:dyDescent="0.35">
      <c r="A17" s="7"/>
    </row>
    <row r="22" spans="1:1" ht="15.5" x14ac:dyDescent="0.35">
      <c r="A22" s="8"/>
    </row>
    <row r="23" spans="1:1" ht="15.5" x14ac:dyDescent="0.35">
      <c r="A23" s="8" t="s">
        <v>701</v>
      </c>
    </row>
  </sheetData>
  <sheetProtection sheet="1" objects="1" scenarios="1" formatCells="0" formatColumns="0" formatRows="0" sort="0" autoFilter="0"/>
  <pageMargins left="0.7" right="0.7" top="0.75" bottom="0.75" header="0.3" footer="0.3"/>
  <pageSetup orientation="portrait" r:id="rId1"/>
  <drawing r:id="rId2"/>
  <legacyDrawing r:id="rId3"/>
  <oleObjects>
    <mc:AlternateContent xmlns:mc="http://schemas.openxmlformats.org/markup-compatibility/2006">
      <mc:Choice Requires="x14">
        <oleObject progId="PBrush" shapeId="13313" r:id="rId4">
          <objectPr defaultSize="0" autoPict="0" r:id="rId5">
            <anchor moveWithCells="1" sizeWithCells="1">
              <from>
                <xdr:col>0</xdr:col>
                <xdr:colOff>3079750</xdr:colOff>
                <xdr:row>9</xdr:row>
                <xdr:rowOff>127000</xdr:rowOff>
              </from>
              <to>
                <xdr:col>0</xdr:col>
                <xdr:colOff>4870450</xdr:colOff>
                <xdr:row>19</xdr:row>
                <xdr:rowOff>69850</xdr:rowOff>
              </to>
            </anchor>
          </objectPr>
        </oleObject>
      </mc:Choice>
      <mc:Fallback>
        <oleObject progId="PBrush" shapeId="1331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A394B-9516-4B7A-8839-1A8E987A6EFC}">
  <sheetPr codeName="Sheet10"/>
  <dimension ref="B2:C19"/>
  <sheetViews>
    <sheetView workbookViewId="0"/>
  </sheetViews>
  <sheetFormatPr defaultColWidth="8.81640625" defaultRowHeight="14.5" x14ac:dyDescent="0.35"/>
  <cols>
    <col min="1" max="1" width="3.1796875" style="9" customWidth="1"/>
    <col min="2" max="2" width="12.54296875" style="9" customWidth="1"/>
    <col min="3" max="3" width="70.54296875" style="9" customWidth="1"/>
    <col min="4" max="16384" width="8.81640625" style="9"/>
  </cols>
  <sheetData>
    <row r="2" spans="2:3" s="9" customFormat="1" ht="14.5" customHeight="1" x14ac:dyDescent="0.35">
      <c r="B2" s="134" t="s">
        <v>695</v>
      </c>
      <c r="C2" s="134" t="s">
        <v>194</v>
      </c>
    </row>
    <row r="3" spans="2:3" s="9" customFormat="1" ht="16" customHeight="1" x14ac:dyDescent="0.35">
      <c r="B3" s="135"/>
      <c r="C3" s="135"/>
    </row>
    <row r="4" spans="2:3" s="9" customFormat="1" ht="24" customHeight="1" x14ac:dyDescent="0.35">
      <c r="B4" s="21" t="s">
        <v>63</v>
      </c>
      <c r="C4" s="21" t="s">
        <v>208</v>
      </c>
    </row>
    <row r="5" spans="2:3" s="9" customFormat="1" ht="24" customHeight="1" x14ac:dyDescent="0.35">
      <c r="B5" s="21" t="s">
        <v>66</v>
      </c>
      <c r="C5" s="21" t="s">
        <v>209</v>
      </c>
    </row>
    <row r="6" spans="2:3" s="9" customFormat="1" ht="24" customHeight="1" x14ac:dyDescent="0.35">
      <c r="B6" s="21" t="s">
        <v>69</v>
      </c>
      <c r="C6" s="21" t="s">
        <v>210</v>
      </c>
    </row>
    <row r="7" spans="2:3" s="9" customFormat="1" ht="24" customHeight="1" x14ac:dyDescent="0.35">
      <c r="B7" s="21" t="s">
        <v>72</v>
      </c>
      <c r="C7" s="21" t="s">
        <v>211</v>
      </c>
    </row>
    <row r="8" spans="2:3" s="9" customFormat="1" ht="24" customHeight="1" x14ac:dyDescent="0.35">
      <c r="B8" s="21" t="s">
        <v>75</v>
      </c>
      <c r="C8" s="21" t="s">
        <v>212</v>
      </c>
    </row>
    <row r="9" spans="2:3" s="9" customFormat="1" ht="24" customHeight="1" x14ac:dyDescent="0.35">
      <c r="B9" s="21" t="s">
        <v>78</v>
      </c>
      <c r="C9" s="21" t="s">
        <v>213</v>
      </c>
    </row>
    <row r="10" spans="2:3" s="9" customFormat="1" ht="29.5" customHeight="1" x14ac:dyDescent="0.35">
      <c r="B10" s="21" t="s">
        <v>83</v>
      </c>
      <c r="C10" s="36" t="s">
        <v>214</v>
      </c>
    </row>
    <row r="11" spans="2:3" s="9" customFormat="1" ht="24" customHeight="1" x14ac:dyDescent="0.35">
      <c r="B11" s="21" t="s">
        <v>85</v>
      </c>
      <c r="C11" s="21" t="s">
        <v>145</v>
      </c>
    </row>
    <row r="12" spans="2:3" s="9" customFormat="1" ht="24" customHeight="1" x14ac:dyDescent="0.35">
      <c r="B12" s="21" t="s">
        <v>87</v>
      </c>
      <c r="C12" s="21" t="s">
        <v>146</v>
      </c>
    </row>
    <row r="13" spans="2:3" s="9" customFormat="1" ht="24" customHeight="1" x14ac:dyDescent="0.35">
      <c r="B13" s="21" t="s">
        <v>89</v>
      </c>
      <c r="C13" s="21" t="s">
        <v>147</v>
      </c>
    </row>
    <row r="14" spans="2:3" s="9" customFormat="1" ht="24" customHeight="1" x14ac:dyDescent="0.35">
      <c r="B14" s="21" t="s">
        <v>91</v>
      </c>
      <c r="C14" s="21" t="s">
        <v>148</v>
      </c>
    </row>
    <row r="15" spans="2:3" s="9" customFormat="1" ht="24" customHeight="1" x14ac:dyDescent="0.35">
      <c r="B15" s="21" t="s">
        <v>93</v>
      </c>
      <c r="C15" s="21" t="s">
        <v>215</v>
      </c>
    </row>
    <row r="16" spans="2:3" s="9" customFormat="1" ht="24" customHeight="1" x14ac:dyDescent="0.35">
      <c r="B16" s="21" t="s">
        <v>95</v>
      </c>
      <c r="C16" s="21" t="s">
        <v>216</v>
      </c>
    </row>
    <row r="17" spans="2:3" s="9" customFormat="1" ht="24" customHeight="1" x14ac:dyDescent="0.35">
      <c r="B17" s="21" t="s">
        <v>97</v>
      </c>
      <c r="C17" s="21" t="s">
        <v>217</v>
      </c>
    </row>
    <row r="18" spans="2:3" s="9" customFormat="1" ht="24" customHeight="1" x14ac:dyDescent="0.35">
      <c r="B18" s="21" t="s">
        <v>99</v>
      </c>
      <c r="C18" s="21" t="s">
        <v>151</v>
      </c>
    </row>
    <row r="19" spans="2:3" s="9" customFormat="1" ht="24" customHeight="1" x14ac:dyDescent="0.35">
      <c r="B19" s="21" t="s">
        <v>101</v>
      </c>
      <c r="C19" s="21" t="s">
        <v>218</v>
      </c>
    </row>
  </sheetData>
  <sheetProtection sheet="1" objects="1" scenarios="1" formatCells="0" formatColumns="0" formatRows="0" sort="0" autoFilter="0"/>
  <autoFilter ref="B2:C19" xr:uid="{F41A394B-9516-4B7A-8839-1A8E987A6EFC}"/>
  <mergeCells count="2">
    <mergeCell ref="B2:B3"/>
    <mergeCell ref="C2:C3"/>
  </mergeCells>
  <phoneticPr fontId="6"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15CF9-CF2E-4121-A787-6C51DD23BA2B}">
  <sheetPr codeName="Sheet2"/>
  <dimension ref="B2:C18"/>
  <sheetViews>
    <sheetView workbookViewId="0"/>
  </sheetViews>
  <sheetFormatPr defaultColWidth="8.81640625" defaultRowHeight="14.5" x14ac:dyDescent="0.35"/>
  <cols>
    <col min="1" max="1" width="4.1796875" style="9" customWidth="1"/>
    <col min="2" max="2" width="27" style="9" customWidth="1"/>
    <col min="3" max="3" width="95.81640625" style="9" customWidth="1"/>
    <col min="4" max="16384" width="8.81640625" style="9"/>
  </cols>
  <sheetData>
    <row r="2" spans="2:3" s="9" customFormat="1" ht="20.149999999999999" customHeight="1" x14ac:dyDescent="0.35"/>
    <row r="3" spans="2:3" s="9" customFormat="1" ht="24" thickBot="1" x14ac:dyDescent="0.6">
      <c r="B3" s="10" t="s">
        <v>0</v>
      </c>
      <c r="C3" s="10"/>
    </row>
    <row r="4" spans="2:3" s="9" customFormat="1" ht="20" thickBot="1" x14ac:dyDescent="0.5">
      <c r="B4" s="11" t="s">
        <v>1</v>
      </c>
      <c r="C4" s="12" t="s">
        <v>2</v>
      </c>
    </row>
    <row r="5" spans="2:3" s="9" customFormat="1" ht="16" x14ac:dyDescent="0.4">
      <c r="B5" s="13" t="s">
        <v>3</v>
      </c>
      <c r="C5" s="14" t="s">
        <v>4</v>
      </c>
    </row>
    <row r="6" spans="2:3" s="9" customFormat="1" ht="32" x14ac:dyDescent="0.4">
      <c r="B6" s="15" t="s">
        <v>5</v>
      </c>
      <c r="C6" s="16" t="s">
        <v>6</v>
      </c>
    </row>
    <row r="7" spans="2:3" s="9" customFormat="1" ht="32" x14ac:dyDescent="0.4">
      <c r="B7" s="15" t="s">
        <v>7</v>
      </c>
      <c r="C7" s="16" t="s">
        <v>8</v>
      </c>
    </row>
    <row r="8" spans="2:3" s="9" customFormat="1" ht="32" x14ac:dyDescent="0.4">
      <c r="B8" s="15" t="s">
        <v>9</v>
      </c>
      <c r="C8" s="16" t="s">
        <v>10</v>
      </c>
    </row>
    <row r="9" spans="2:3" s="9" customFormat="1" ht="48" x14ac:dyDescent="0.4">
      <c r="B9" s="15" t="s">
        <v>696</v>
      </c>
      <c r="C9" s="16" t="s">
        <v>697</v>
      </c>
    </row>
    <row r="10" spans="2:3" s="9" customFormat="1" ht="32" x14ac:dyDescent="0.4">
      <c r="B10" s="15" t="s">
        <v>698</v>
      </c>
      <c r="C10" s="16" t="s">
        <v>699</v>
      </c>
    </row>
    <row r="11" spans="2:3" s="9" customFormat="1" ht="16" x14ac:dyDescent="0.4">
      <c r="B11" s="15" t="s">
        <v>11</v>
      </c>
      <c r="C11" s="16" t="s">
        <v>12</v>
      </c>
    </row>
    <row r="12" spans="2:3" s="9" customFormat="1" ht="16" x14ac:dyDescent="0.4">
      <c r="B12" s="15" t="s">
        <v>13</v>
      </c>
      <c r="C12" s="16" t="s">
        <v>14</v>
      </c>
    </row>
    <row r="13" spans="2:3" s="9" customFormat="1" ht="16.5" thickBot="1" x14ac:dyDescent="0.45">
      <c r="B13" s="17" t="s">
        <v>15</v>
      </c>
      <c r="C13" s="18" t="s">
        <v>16</v>
      </c>
    </row>
    <row r="17" spans="2:3" s="9" customFormat="1" ht="16" x14ac:dyDescent="0.4">
      <c r="B17" s="19" t="s">
        <v>17</v>
      </c>
    </row>
    <row r="18" spans="2:3" s="9" customFormat="1" ht="114" customHeight="1" x14ac:dyDescent="0.35">
      <c r="B18" s="20" t="s">
        <v>18</v>
      </c>
      <c r="C18" s="20"/>
    </row>
  </sheetData>
  <sheetProtection sheet="1" objects="1" scenarios="1" formatCells="0" formatColumns="0" formatRows="0" sort="0" autoFilter="0"/>
  <autoFilter ref="B2:C18" xr:uid="{28415CF9-CF2E-4121-A787-6C51DD23BA2B}"/>
  <mergeCells count="2">
    <mergeCell ref="B3:C3"/>
    <mergeCell ref="B18:C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665F7-7556-4ADF-9F98-BECF6791D6E3}">
  <sheetPr codeName="Sheet3"/>
  <dimension ref="B2:Q50"/>
  <sheetViews>
    <sheetView zoomScale="70" zoomScaleNormal="70" workbookViewId="0"/>
  </sheetViews>
  <sheetFormatPr defaultColWidth="9.1796875" defaultRowHeight="14.5" x14ac:dyDescent="0.35"/>
  <cols>
    <col min="1" max="1" width="3.453125" style="9" customWidth="1"/>
    <col min="2" max="2" width="9.1796875" style="9"/>
    <col min="3" max="3" width="44.81640625" style="9" customWidth="1"/>
    <col min="4" max="4" width="9.1796875" style="9"/>
    <col min="5" max="5" width="12.54296875" style="9" bestFit="1" customWidth="1"/>
    <col min="6" max="6" width="14.81640625" style="9" customWidth="1"/>
    <col min="7" max="7" width="18.81640625" style="9" customWidth="1"/>
    <col min="8" max="13" width="14.81640625" style="9" customWidth="1"/>
    <col min="14" max="14" width="93" style="9" customWidth="1"/>
    <col min="15" max="16384" width="9.1796875" style="9"/>
  </cols>
  <sheetData>
    <row r="2" spans="2:17" s="9" customFormat="1" x14ac:dyDescent="0.35">
      <c r="C2" s="21" t="s">
        <v>19</v>
      </c>
      <c r="D2" s="21" t="s">
        <v>20</v>
      </c>
    </row>
    <row r="4" spans="2:17" s="9" customFormat="1" ht="14.5" customHeight="1" x14ac:dyDescent="0.35">
      <c r="C4" s="22" t="s">
        <v>21</v>
      </c>
      <c r="D4" s="23" t="s">
        <v>22</v>
      </c>
      <c r="E4" s="23" t="s">
        <v>23</v>
      </c>
      <c r="F4" s="24" t="s">
        <v>24</v>
      </c>
      <c r="G4" s="24"/>
      <c r="H4" s="23" t="s">
        <v>25</v>
      </c>
      <c r="I4" s="23"/>
      <c r="J4" s="23"/>
      <c r="K4" s="23" t="s">
        <v>26</v>
      </c>
      <c r="L4" s="25" t="s">
        <v>27</v>
      </c>
      <c r="M4" s="23" t="s">
        <v>28</v>
      </c>
      <c r="N4" s="23" t="s">
        <v>29</v>
      </c>
      <c r="Q4" s="26" t="s">
        <v>30</v>
      </c>
    </row>
    <row r="5" spans="2:17" s="9" customFormat="1" ht="45" customHeight="1" x14ac:dyDescent="0.35">
      <c r="C5" s="22"/>
      <c r="D5" s="23"/>
      <c r="E5" s="23"/>
      <c r="F5" s="27" t="s">
        <v>31</v>
      </c>
      <c r="G5" s="27" t="s">
        <v>32</v>
      </c>
      <c r="H5" s="27" t="s">
        <v>33</v>
      </c>
      <c r="I5" s="27" t="s">
        <v>34</v>
      </c>
      <c r="J5" s="27" t="s">
        <v>35</v>
      </c>
      <c r="K5" s="23"/>
      <c r="L5" s="28"/>
      <c r="M5" s="23"/>
      <c r="N5" s="23"/>
      <c r="Q5" s="29" t="s">
        <v>36</v>
      </c>
    </row>
    <row r="6" spans="2:17" s="9" customFormat="1" ht="117.65" customHeight="1" x14ac:dyDescent="0.35">
      <c r="C6" s="30" t="s">
        <v>37</v>
      </c>
      <c r="D6" s="31" t="s">
        <v>38</v>
      </c>
      <c r="E6" s="31" t="s">
        <v>39</v>
      </c>
      <c r="F6" s="31">
        <v>1070</v>
      </c>
      <c r="G6" s="32" t="s">
        <v>40</v>
      </c>
      <c r="H6" s="33">
        <v>0</v>
      </c>
      <c r="I6" s="33">
        <v>1070</v>
      </c>
      <c r="J6" s="34" t="s">
        <v>41</v>
      </c>
      <c r="K6" s="32" t="s">
        <v>42</v>
      </c>
      <c r="L6" s="33" t="e" cm="1">
        <f t="array" aca="1" ref="L6" ca="1">_xll.RiskUniform(H6, I6, _xll.RiskName(C6), _xll.RiskStatic(F6))</f>
        <v>#NAME?</v>
      </c>
      <c r="M6" s="33">
        <f>IF($D$2=$Q$5, L6,F6)</f>
        <v>1070</v>
      </c>
      <c r="N6" s="35" t="s">
        <v>43</v>
      </c>
      <c r="Q6" s="29" t="s">
        <v>20</v>
      </c>
    </row>
    <row r="7" spans="2:17" s="9" customFormat="1" ht="97.5" customHeight="1" x14ac:dyDescent="0.35">
      <c r="C7" s="31" t="s">
        <v>44</v>
      </c>
      <c r="D7" s="31" t="s">
        <v>45</v>
      </c>
      <c r="E7" s="31" t="s">
        <v>46</v>
      </c>
      <c r="F7" s="31">
        <v>2.1</v>
      </c>
      <c r="G7" s="32" t="s">
        <v>40</v>
      </c>
      <c r="H7" s="33">
        <v>0.7</v>
      </c>
      <c r="I7" s="33">
        <v>2.1</v>
      </c>
      <c r="J7" s="34" t="s">
        <v>41</v>
      </c>
      <c r="K7" s="32" t="s">
        <v>42</v>
      </c>
      <c r="L7" s="33" t="e" cm="1">
        <f t="array" aca="1" ref="L7" ca="1">_xll.RiskUniform(H7, I7, _xll.RiskName(C7), _xll.RiskStatic(F7))</f>
        <v>#NAME?</v>
      </c>
      <c r="M7" s="33">
        <f>IF($D$2=$Q$5, L7,F7)</f>
        <v>2.1</v>
      </c>
      <c r="N7" s="36" t="s">
        <v>47</v>
      </c>
    </row>
    <row r="8" spans="2:17" s="9" customFormat="1" ht="29" x14ac:dyDescent="0.35">
      <c r="C8" s="31" t="s">
        <v>48</v>
      </c>
      <c r="D8" s="31" t="s">
        <v>49</v>
      </c>
      <c r="E8" s="31" t="s">
        <v>50</v>
      </c>
      <c r="F8" s="31">
        <v>36</v>
      </c>
      <c r="G8" s="32" t="s">
        <v>35</v>
      </c>
      <c r="H8" s="33">
        <v>10.4</v>
      </c>
      <c r="I8" s="33">
        <v>44</v>
      </c>
      <c r="J8" s="33">
        <v>36</v>
      </c>
      <c r="K8" s="32" t="s">
        <v>51</v>
      </c>
      <c r="L8" s="33" t="e" cm="1">
        <f t="array" aca="1" ref="L8" ca="1">_xll.RiskTriang(H8, J8, I8, _xll.RiskStatic(F8), _xll.RiskName(C8))</f>
        <v>#NAME?</v>
      </c>
      <c r="M8" s="33">
        <f>IF($D$2=$Q$5, L8,F8)</f>
        <v>36</v>
      </c>
      <c r="N8" s="36" t="s">
        <v>52</v>
      </c>
    </row>
    <row r="9" spans="2:17" s="9" customFormat="1" x14ac:dyDescent="0.35">
      <c r="C9" s="30" t="s">
        <v>53</v>
      </c>
      <c r="D9" s="31" t="s">
        <v>54</v>
      </c>
      <c r="E9" s="31" t="s">
        <v>55</v>
      </c>
      <c r="F9" s="31">
        <v>80</v>
      </c>
      <c r="G9" s="32" t="s">
        <v>56</v>
      </c>
      <c r="H9" s="34" t="s">
        <v>41</v>
      </c>
      <c r="I9" s="34" t="s">
        <v>41</v>
      </c>
      <c r="J9" s="34" t="s">
        <v>41</v>
      </c>
      <c r="K9" s="32" t="s">
        <v>57</v>
      </c>
      <c r="L9" s="34" t="s">
        <v>41</v>
      </c>
      <c r="M9" s="33">
        <f>F9</f>
        <v>80</v>
      </c>
      <c r="N9" s="36" t="s">
        <v>58</v>
      </c>
    </row>
    <row r="10" spans="2:17" s="9" customFormat="1" ht="16.5" x14ac:dyDescent="0.45">
      <c r="C10" s="37" t="s">
        <v>59</v>
      </c>
      <c r="D10" s="21" t="s">
        <v>60</v>
      </c>
      <c r="E10" s="31" t="s">
        <v>61</v>
      </c>
      <c r="F10" s="31">
        <v>1.4999999999999999E-2</v>
      </c>
      <c r="G10" s="32" t="s">
        <v>35</v>
      </c>
      <c r="H10" s="34">
        <v>7.0000000000000001E-3</v>
      </c>
      <c r="I10" s="34">
        <v>1.7000000000000001E-2</v>
      </c>
      <c r="J10" s="34">
        <v>1.4999999999999999E-2</v>
      </c>
      <c r="K10" s="32" t="s">
        <v>42</v>
      </c>
      <c r="L10" s="33" t="e" cm="1">
        <f t="array" aca="1" ref="L10" ca="1">_xll.RiskUniform(H10, I10, _xll.RiskName(C10), _xll.RiskStatic(F10))</f>
        <v>#NAME?</v>
      </c>
      <c r="M10" s="33">
        <f>IF($D$2=$Q$5, L10,F10)</f>
        <v>1.4999999999999999E-2</v>
      </c>
      <c r="N10" s="36" t="s">
        <v>62</v>
      </c>
    </row>
    <row r="11" spans="2:17" s="9" customFormat="1" ht="32.15" customHeight="1" x14ac:dyDescent="0.35">
      <c r="B11" s="38" t="s">
        <v>63</v>
      </c>
      <c r="C11" s="30" t="str">
        <f>_xlfn.CONCAT("Chemical Weight Fraction - ",_xlfn.XLOOKUP(B11,'OES Lookups'!$B$4:$B$19,'OES Lookups'!$C$4:$C$19))</f>
        <v>Chemical Weight Fraction - Manufacture</v>
      </c>
      <c r="D11" s="31" t="s">
        <v>64</v>
      </c>
      <c r="E11" s="31" t="s">
        <v>61</v>
      </c>
      <c r="F11" s="31">
        <v>1</v>
      </c>
      <c r="G11" s="32" t="s">
        <v>40</v>
      </c>
      <c r="H11" s="33">
        <v>0.9</v>
      </c>
      <c r="I11" s="33">
        <v>1</v>
      </c>
      <c r="J11" s="34" t="s">
        <v>41</v>
      </c>
      <c r="K11" s="32" t="s">
        <v>42</v>
      </c>
      <c r="L11" s="33" t="e" cm="1">
        <f t="array" aca="1" ref="L11" ca="1">_xll.RiskUniform(H11, I11, _xll.RiskName(C11), _xll.RiskStatic(F11))</f>
        <v>#NAME?</v>
      </c>
      <c r="M11" s="33">
        <f>IF($D$2=$Q$5, L11,F11)</f>
        <v>1</v>
      </c>
      <c r="N11" s="36" t="s">
        <v>65</v>
      </c>
    </row>
    <row r="12" spans="2:17" s="9" customFormat="1" ht="32.15" customHeight="1" x14ac:dyDescent="0.35">
      <c r="B12" s="38" t="s">
        <v>66</v>
      </c>
      <c r="C12" s="30" t="str">
        <f>_xlfn.CONCAT("Chemical Weight Fraction - ",_xlfn.XLOOKUP(B12,'OES Lookups'!$B$4:$B$19,'OES Lookups'!$C$4:$C$19))</f>
        <v>Chemical Weight Fraction - Manufacture as a byproduct</v>
      </c>
      <c r="D12" s="31" t="s">
        <v>67</v>
      </c>
      <c r="E12" s="31" t="s">
        <v>61</v>
      </c>
      <c r="F12" s="33">
        <v>1.2500000000000001E-2</v>
      </c>
      <c r="G12" s="32" t="s">
        <v>56</v>
      </c>
      <c r="H12" s="34" t="s">
        <v>41</v>
      </c>
      <c r="I12" s="34" t="s">
        <v>41</v>
      </c>
      <c r="J12" s="34" t="s">
        <v>41</v>
      </c>
      <c r="K12" s="32" t="s">
        <v>57</v>
      </c>
      <c r="L12" s="34" t="s">
        <v>41</v>
      </c>
      <c r="M12" s="33">
        <f>F12</f>
        <v>1.2500000000000001E-2</v>
      </c>
      <c r="N12" s="36" t="s">
        <v>68</v>
      </c>
    </row>
    <row r="13" spans="2:17" s="9" customFormat="1" ht="32.15" customHeight="1" x14ac:dyDescent="0.35">
      <c r="B13" s="38" t="s">
        <v>69</v>
      </c>
      <c r="C13" s="30" t="str">
        <f>_xlfn.CONCAT("Chemical Weight Fraction - ",_xlfn.XLOOKUP(B13,'OES Lookups'!$B$4:$B$19,'OES Lookups'!$C$4:$C$19))</f>
        <v>Chemical Weight Fraction - Repackaging</v>
      </c>
      <c r="D13" s="31" t="s">
        <v>70</v>
      </c>
      <c r="E13" s="31" t="s">
        <v>61</v>
      </c>
      <c r="F13" s="31">
        <v>1</v>
      </c>
      <c r="G13" s="32" t="s">
        <v>56</v>
      </c>
      <c r="H13" s="34" t="s">
        <v>41</v>
      </c>
      <c r="I13" s="34" t="s">
        <v>41</v>
      </c>
      <c r="J13" s="34" t="s">
        <v>41</v>
      </c>
      <c r="K13" s="32" t="s">
        <v>57</v>
      </c>
      <c r="L13" s="34" t="s">
        <v>41</v>
      </c>
      <c r="M13" s="33">
        <f t="shared" ref="M13:M14" si="0">F13</f>
        <v>1</v>
      </c>
      <c r="N13" s="36" t="s">
        <v>71</v>
      </c>
    </row>
    <row r="14" spans="2:17" s="9" customFormat="1" ht="32.15" customHeight="1" x14ac:dyDescent="0.35">
      <c r="B14" s="38" t="s">
        <v>72</v>
      </c>
      <c r="C14" s="30" t="str">
        <f>_xlfn.CONCAT("Chemical Weight Fraction - ",_xlfn.XLOOKUP(B14,'OES Lookups'!$B$4:$B$19,'OES Lookups'!$C$4:$C$19))</f>
        <v>Chemical Weight Fraction - Processing as a reactant</v>
      </c>
      <c r="D14" s="31" t="s">
        <v>73</v>
      </c>
      <c r="E14" s="31" t="s">
        <v>61</v>
      </c>
      <c r="F14" s="31">
        <v>1</v>
      </c>
      <c r="G14" s="32" t="s">
        <v>56</v>
      </c>
      <c r="H14" s="34" t="s">
        <v>41</v>
      </c>
      <c r="I14" s="34" t="s">
        <v>41</v>
      </c>
      <c r="J14" s="34" t="s">
        <v>41</v>
      </c>
      <c r="K14" s="32" t="s">
        <v>57</v>
      </c>
      <c r="L14" s="34" t="s">
        <v>41</v>
      </c>
      <c r="M14" s="33">
        <f t="shared" si="0"/>
        <v>1</v>
      </c>
      <c r="N14" s="36" t="s">
        <v>74</v>
      </c>
    </row>
    <row r="15" spans="2:17" s="9" customFormat="1" ht="32.15" customHeight="1" x14ac:dyDescent="0.35">
      <c r="B15" s="38" t="s">
        <v>75</v>
      </c>
      <c r="C15" s="30" t="str">
        <f>_xlfn.CONCAT("Chemical Weight Fraction - ",_xlfn.XLOOKUP(B15,'OES Lookups'!$B$4:$B$19,'OES Lookups'!$C$4:$C$19))</f>
        <v>Chemical Weight Fraction - Processing into formulation, mixture, or reaction product</v>
      </c>
      <c r="D15" s="31" t="s">
        <v>76</v>
      </c>
      <c r="E15" s="31" t="s">
        <v>61</v>
      </c>
      <c r="F15" s="31">
        <v>1</v>
      </c>
      <c r="G15" s="32" t="s">
        <v>40</v>
      </c>
      <c r="H15" s="39">
        <v>0.01</v>
      </c>
      <c r="I15" s="33">
        <v>1</v>
      </c>
      <c r="J15" s="34" t="s">
        <v>41</v>
      </c>
      <c r="K15" s="32" t="s">
        <v>42</v>
      </c>
      <c r="L15" s="33" t="e" cm="1">
        <f t="array" aca="1" ref="L15" ca="1">_xll.RiskUniform(H15, I15, _xll.RiskName(C15), _xll.RiskStatic(F15))</f>
        <v>#NAME?</v>
      </c>
      <c r="M15" s="33">
        <f t="shared" ref="M15" si="1">IF($D$2=$Q$5, L15,F15)</f>
        <v>1</v>
      </c>
      <c r="N15" s="36" t="s">
        <v>77</v>
      </c>
    </row>
    <row r="16" spans="2:17" s="9" customFormat="1" ht="32.15" customHeight="1" x14ac:dyDescent="0.35">
      <c r="B16" s="38" t="s">
        <v>78</v>
      </c>
      <c r="C16" s="30" t="str">
        <f>_xlfn.CONCAT("Chemical Weight Fraction - ",_xlfn.XLOOKUP(B16,'OES Lookups'!$B$4:$B$19,'OES Lookups'!$C$4:$C$19))</f>
        <v>Chemical Weight Fraction - Vapor degreasing</v>
      </c>
      <c r="D16" s="31" t="s">
        <v>79</v>
      </c>
      <c r="E16" s="31" t="s">
        <v>61</v>
      </c>
      <c r="F16" s="34" t="s">
        <v>41</v>
      </c>
      <c r="G16" s="34" t="s">
        <v>41</v>
      </c>
      <c r="H16" s="34" t="s">
        <v>41</v>
      </c>
      <c r="I16" s="34" t="s">
        <v>41</v>
      </c>
      <c r="J16" s="34" t="s">
        <v>41</v>
      </c>
      <c r="K16" s="32" t="s">
        <v>80</v>
      </c>
      <c r="L16" s="40" t="s">
        <v>81</v>
      </c>
      <c r="M16" s="41"/>
      <c r="N16" s="36" t="s">
        <v>82</v>
      </c>
    </row>
    <row r="17" spans="2:14" s="9" customFormat="1" ht="47.15" customHeight="1" x14ac:dyDescent="0.35">
      <c r="B17" s="38" t="s">
        <v>83</v>
      </c>
      <c r="C17" s="30" t="str">
        <f>_xlfn.CONCAT("Chemical Weight Fraction - ",_xlfn.XLOOKUP(B17,'OES Lookups'!$B$4:$B$19,'OES Lookups'!$C$4:$C$19))</f>
        <v>Chemical Weight Fraction - Commercial aerosol products (aerosol degreasing, aerosol lubricants, automotive care products)</v>
      </c>
      <c r="D17" s="31" t="s">
        <v>84</v>
      </c>
      <c r="E17" s="31" t="s">
        <v>61</v>
      </c>
      <c r="F17" s="34" t="s">
        <v>41</v>
      </c>
      <c r="G17" s="34" t="s">
        <v>41</v>
      </c>
      <c r="H17" s="34" t="s">
        <v>41</v>
      </c>
      <c r="I17" s="34" t="s">
        <v>41</v>
      </c>
      <c r="J17" s="34" t="s">
        <v>41</v>
      </c>
      <c r="K17" s="32" t="s">
        <v>80</v>
      </c>
      <c r="L17" s="40" t="s">
        <v>81</v>
      </c>
      <c r="M17" s="41"/>
      <c r="N17" s="36" t="s">
        <v>82</v>
      </c>
    </row>
    <row r="18" spans="2:14" s="9" customFormat="1" ht="32.15" customHeight="1" x14ac:dyDescent="0.35">
      <c r="B18" s="38" t="s">
        <v>85</v>
      </c>
      <c r="C18" s="30" t="str">
        <f>_xlfn.CONCAT("Chemical Weight Fraction - ",_xlfn.XLOOKUP(B18,'OES Lookups'!$B$4:$B$19,'OES Lookups'!$C$4:$C$19))</f>
        <v>Chemical Weight Fraction - Industrial and commercial non-aerosol cleaning/degreasing</v>
      </c>
      <c r="D18" s="31" t="s">
        <v>86</v>
      </c>
      <c r="E18" s="31" t="s">
        <v>61</v>
      </c>
      <c r="F18" s="34" t="s">
        <v>41</v>
      </c>
      <c r="G18" s="34" t="s">
        <v>41</v>
      </c>
      <c r="H18" s="34" t="s">
        <v>41</v>
      </c>
      <c r="I18" s="34" t="s">
        <v>41</v>
      </c>
      <c r="J18" s="34" t="s">
        <v>41</v>
      </c>
      <c r="K18" s="32" t="s">
        <v>80</v>
      </c>
      <c r="L18" s="40" t="s">
        <v>81</v>
      </c>
      <c r="M18" s="41"/>
      <c r="N18" s="36" t="s">
        <v>82</v>
      </c>
    </row>
    <row r="19" spans="2:14" s="9" customFormat="1" ht="32.15" customHeight="1" x14ac:dyDescent="0.35">
      <c r="B19" s="38" t="s">
        <v>87</v>
      </c>
      <c r="C19" s="30" t="str">
        <f>_xlfn.CONCAT("Chemical Weight Fraction - ",_xlfn.XLOOKUP(B19,'OES Lookups'!$B$4:$B$19,'OES Lookups'!$C$4:$C$19))</f>
        <v>Chemical Weight Fraction - Miscellaneous non-aerosol industrial and commercial uses</v>
      </c>
      <c r="D19" s="31" t="s">
        <v>88</v>
      </c>
      <c r="E19" s="31" t="s">
        <v>61</v>
      </c>
      <c r="F19" s="34" t="s">
        <v>41</v>
      </c>
      <c r="G19" s="34" t="s">
        <v>41</v>
      </c>
      <c r="H19" s="34" t="s">
        <v>41</v>
      </c>
      <c r="I19" s="34" t="s">
        <v>41</v>
      </c>
      <c r="J19" s="34" t="s">
        <v>41</v>
      </c>
      <c r="K19" s="32" t="s">
        <v>80</v>
      </c>
      <c r="L19" s="40" t="s">
        <v>81</v>
      </c>
      <c r="M19" s="41"/>
      <c r="N19" s="36" t="s">
        <v>82</v>
      </c>
    </row>
    <row r="20" spans="2:14" s="9" customFormat="1" ht="32.15" customHeight="1" x14ac:dyDescent="0.35">
      <c r="B20" s="38" t="s">
        <v>89</v>
      </c>
      <c r="C20" s="30" t="str">
        <f>_xlfn.CONCAT("Chemical Weight Fraction - ",_xlfn.XLOOKUP(B20,'OES Lookups'!$B$4:$B$19,'OES Lookups'!$C$4:$C$19))</f>
        <v>Chemical Weight Fraction - Application of paints and coatings</v>
      </c>
      <c r="D20" s="31" t="s">
        <v>90</v>
      </c>
      <c r="E20" s="31" t="s">
        <v>61</v>
      </c>
      <c r="F20" s="34" t="s">
        <v>41</v>
      </c>
      <c r="G20" s="34" t="s">
        <v>41</v>
      </c>
      <c r="H20" s="34" t="s">
        <v>41</v>
      </c>
      <c r="I20" s="34" t="s">
        <v>41</v>
      </c>
      <c r="J20" s="34" t="s">
        <v>41</v>
      </c>
      <c r="K20" s="32" t="s">
        <v>80</v>
      </c>
      <c r="L20" s="40" t="s">
        <v>81</v>
      </c>
      <c r="M20" s="41"/>
      <c r="N20" s="36" t="s">
        <v>82</v>
      </c>
    </row>
    <row r="21" spans="2:14" s="9" customFormat="1" ht="31" customHeight="1" x14ac:dyDescent="0.35">
      <c r="B21" s="38" t="s">
        <v>91</v>
      </c>
      <c r="C21" s="30" t="str">
        <f>_xlfn.CONCAT("Chemical Weight Fraction - ",_xlfn.XLOOKUP(B21,'OES Lookups'!$B$4:$B$19,'OES Lookups'!$C$4:$C$19))</f>
        <v>Chemical Weight Fraction - Application of adhesives and sealants</v>
      </c>
      <c r="D21" s="31" t="s">
        <v>92</v>
      </c>
      <c r="E21" s="31" t="s">
        <v>61</v>
      </c>
      <c r="F21" s="34" t="s">
        <v>41</v>
      </c>
      <c r="G21" s="34" t="s">
        <v>41</v>
      </c>
      <c r="H21" s="34" t="s">
        <v>41</v>
      </c>
      <c r="I21" s="34" t="s">
        <v>41</v>
      </c>
      <c r="J21" s="34" t="s">
        <v>41</v>
      </c>
      <c r="K21" s="32" t="s">
        <v>80</v>
      </c>
      <c r="L21" s="40" t="s">
        <v>81</v>
      </c>
      <c r="M21" s="41"/>
      <c r="N21" s="36" t="s">
        <v>82</v>
      </c>
    </row>
    <row r="22" spans="2:14" s="9" customFormat="1" ht="31" customHeight="1" x14ac:dyDescent="0.35">
      <c r="B22" s="38" t="s">
        <v>93</v>
      </c>
      <c r="C22" s="30" t="str">
        <f>_xlfn.CONCAT("Chemical Weight Fraction - ",_xlfn.XLOOKUP(B22,'OES Lookups'!$B$4:$B$19,'OES Lookups'!$C$4:$C$19))</f>
        <v>Chemical Weight Fraction - Refrigerant and refrigerant flush</v>
      </c>
      <c r="D22" s="31" t="s">
        <v>94</v>
      </c>
      <c r="E22" s="31" t="s">
        <v>61</v>
      </c>
      <c r="F22" s="34" t="s">
        <v>41</v>
      </c>
      <c r="G22" s="34" t="s">
        <v>41</v>
      </c>
      <c r="H22" s="34" t="s">
        <v>41</v>
      </c>
      <c r="I22" s="34" t="s">
        <v>41</v>
      </c>
      <c r="J22" s="34" t="s">
        <v>41</v>
      </c>
      <c r="K22" s="32" t="s">
        <v>80</v>
      </c>
      <c r="L22" s="40" t="s">
        <v>81</v>
      </c>
      <c r="M22" s="41"/>
      <c r="N22" s="36" t="s">
        <v>82</v>
      </c>
    </row>
    <row r="23" spans="2:14" s="9" customFormat="1" ht="31" customHeight="1" x14ac:dyDescent="0.35">
      <c r="B23" s="38" t="s">
        <v>95</v>
      </c>
      <c r="C23" s="30" t="str">
        <f>_xlfn.CONCAT("Chemical Weight Fraction - ",_xlfn.XLOOKUP(B23,'OES Lookups'!$B$4:$B$19,'OES Lookups'!$C$4:$C$19))</f>
        <v>Chemical Weight Fraction - Semiconductor manufacturing</v>
      </c>
      <c r="D23" s="31" t="s">
        <v>96</v>
      </c>
      <c r="E23" s="31" t="s">
        <v>61</v>
      </c>
      <c r="F23" s="31">
        <v>1</v>
      </c>
      <c r="G23" s="32" t="s">
        <v>56</v>
      </c>
      <c r="H23" s="34" t="s">
        <v>41</v>
      </c>
      <c r="I23" s="34" t="s">
        <v>41</v>
      </c>
      <c r="J23" s="34" t="s">
        <v>41</v>
      </c>
      <c r="K23" s="32" t="s">
        <v>57</v>
      </c>
      <c r="L23" s="34" t="s">
        <v>41</v>
      </c>
      <c r="M23" s="33">
        <f t="shared" ref="M23" si="2">F23</f>
        <v>1</v>
      </c>
      <c r="N23" s="36" t="s">
        <v>74</v>
      </c>
    </row>
    <row r="24" spans="2:14" s="9" customFormat="1" ht="31" customHeight="1" x14ac:dyDescent="0.35">
      <c r="B24" s="38" t="s">
        <v>97</v>
      </c>
      <c r="C24" s="30" t="str">
        <f>_xlfn.CONCAT("Chemical Weight Fraction - ",_xlfn.XLOOKUP(B24,'OES Lookups'!$B$4:$B$19,'OES Lookups'!$C$4:$C$19))</f>
        <v>Chemical Weight Fraction - Commercial laboratory use</v>
      </c>
      <c r="D24" s="31" t="s">
        <v>98</v>
      </c>
      <c r="E24" s="31" t="s">
        <v>61</v>
      </c>
      <c r="F24" s="34" t="s">
        <v>41</v>
      </c>
      <c r="G24" s="34" t="s">
        <v>41</v>
      </c>
      <c r="H24" s="34" t="s">
        <v>41</v>
      </c>
      <c r="I24" s="34" t="s">
        <v>41</v>
      </c>
      <c r="J24" s="34" t="s">
        <v>41</v>
      </c>
      <c r="K24" s="32" t="s">
        <v>80</v>
      </c>
      <c r="L24" s="40" t="s">
        <v>81</v>
      </c>
      <c r="M24" s="41"/>
      <c r="N24" s="36" t="s">
        <v>82</v>
      </c>
    </row>
    <row r="25" spans="2:14" s="9" customFormat="1" ht="31" customHeight="1" x14ac:dyDescent="0.35">
      <c r="B25" s="38" t="s">
        <v>99</v>
      </c>
      <c r="C25" s="30" t="str">
        <f>_xlfn.CONCAT("Chemical Weight Fraction - ",_xlfn.XLOOKUP(B25,'OES Lookups'!$B$4:$B$19,'OES Lookups'!$C$4:$C$19))</f>
        <v>Chemical Weight Fraction - Blowing agent in spray foam</v>
      </c>
      <c r="D25" s="31" t="s">
        <v>100</v>
      </c>
      <c r="E25" s="31" t="s">
        <v>61</v>
      </c>
      <c r="F25" s="34" t="s">
        <v>41</v>
      </c>
      <c r="G25" s="34" t="s">
        <v>41</v>
      </c>
      <c r="H25" s="34" t="s">
        <v>41</v>
      </c>
      <c r="I25" s="34" t="s">
        <v>41</v>
      </c>
      <c r="J25" s="34" t="s">
        <v>41</v>
      </c>
      <c r="K25" s="32" t="s">
        <v>80</v>
      </c>
      <c r="L25" s="40" t="s">
        <v>81</v>
      </c>
      <c r="M25" s="41"/>
      <c r="N25" s="36" t="s">
        <v>82</v>
      </c>
    </row>
    <row r="26" spans="2:14" s="9" customFormat="1" ht="31" customHeight="1" x14ac:dyDescent="0.35">
      <c r="B26" s="38" t="s">
        <v>101</v>
      </c>
      <c r="C26" s="30" t="str">
        <f>_xlfn.CONCAT("Chemical Weight Fraction - ",_xlfn.XLOOKUP(B26,'OES Lookups'!$B$4:$B$19,'OES Lookups'!$C$4:$C$19))</f>
        <v>Chemical Weight Fraction - Waste handling, disposal, treatment, and recycling</v>
      </c>
      <c r="D26" s="31" t="s">
        <v>102</v>
      </c>
      <c r="E26" s="31" t="s">
        <v>61</v>
      </c>
      <c r="F26" s="31">
        <v>1</v>
      </c>
      <c r="G26" s="32" t="s">
        <v>40</v>
      </c>
      <c r="H26" s="33">
        <v>0.01</v>
      </c>
      <c r="I26" s="33">
        <v>1</v>
      </c>
      <c r="J26" s="34" t="s">
        <v>41</v>
      </c>
      <c r="K26" s="32" t="s">
        <v>42</v>
      </c>
      <c r="L26" s="33" t="e" cm="1">
        <f t="array" aca="1" ref="L26" ca="1">_xll.RiskUniform(H26, I26, _xll.RiskName(C26), _xll.RiskStatic(F26))</f>
        <v>#NAME?</v>
      </c>
      <c r="M26" s="33">
        <f t="shared" ref="M26" si="3">IF($D$2=$Q$5, L26,F26)</f>
        <v>1</v>
      </c>
      <c r="N26" s="21" t="s">
        <v>103</v>
      </c>
    </row>
    <row r="27" spans="2:14" s="46" customFormat="1" ht="34.5" customHeight="1" x14ac:dyDescent="0.35">
      <c r="B27" s="42" t="s">
        <v>63</v>
      </c>
      <c r="C27" s="43" t="str">
        <f>_xlfn.CONCAT("Exposure Days - ",_xlfn.XLOOKUP(B27,'OES Lookups'!$B$4:$B$19,'OES Lookups'!$C$4:$C$19))</f>
        <v>Exposure Days - Manufacture</v>
      </c>
      <c r="D27" s="36" t="s">
        <v>104</v>
      </c>
      <c r="E27" s="30" t="s">
        <v>105</v>
      </c>
      <c r="F27" s="31">
        <v>250</v>
      </c>
      <c r="G27" s="43" t="s">
        <v>56</v>
      </c>
      <c r="H27" s="44" t="s">
        <v>41</v>
      </c>
      <c r="I27" s="44" t="s">
        <v>41</v>
      </c>
      <c r="J27" s="44" t="s">
        <v>41</v>
      </c>
      <c r="K27" s="43" t="s">
        <v>57</v>
      </c>
      <c r="L27" s="44" t="s">
        <v>41</v>
      </c>
      <c r="M27" s="45">
        <f>F27</f>
        <v>250</v>
      </c>
      <c r="N27" s="36" t="s">
        <v>106</v>
      </c>
    </row>
    <row r="28" spans="2:14" s="46" customFormat="1" ht="34.5" customHeight="1" x14ac:dyDescent="0.35">
      <c r="B28" s="42" t="s">
        <v>66</v>
      </c>
      <c r="C28" s="43" t="str">
        <f>_xlfn.CONCAT("Exposure Days - ",_xlfn.XLOOKUP(B28,'OES Lookups'!$B$4:$B$19,'OES Lookups'!$C$4:$C$19))</f>
        <v>Exposure Days - Manufacture as a byproduct</v>
      </c>
      <c r="D28" s="36" t="s">
        <v>107</v>
      </c>
      <c r="E28" s="30" t="s">
        <v>105</v>
      </c>
      <c r="F28" s="31">
        <v>250</v>
      </c>
      <c r="G28" s="43" t="s">
        <v>56</v>
      </c>
      <c r="H28" s="44" t="s">
        <v>41</v>
      </c>
      <c r="I28" s="44" t="s">
        <v>41</v>
      </c>
      <c r="J28" s="44" t="s">
        <v>41</v>
      </c>
      <c r="K28" s="43" t="s">
        <v>57</v>
      </c>
      <c r="L28" s="44" t="s">
        <v>41</v>
      </c>
      <c r="M28" s="45">
        <f>F28</f>
        <v>250</v>
      </c>
      <c r="N28" s="36" t="s">
        <v>106</v>
      </c>
    </row>
    <row r="29" spans="2:14" s="46" customFormat="1" ht="39" customHeight="1" x14ac:dyDescent="0.35">
      <c r="B29" s="42" t="s">
        <v>69</v>
      </c>
      <c r="C29" s="43" t="str">
        <f>_xlfn.CONCAT("Exposure Days - ",_xlfn.XLOOKUP(B29,'OES Lookups'!$B$4:$B$19,'OES Lookups'!$C$4:$C$19))</f>
        <v>Exposure Days - Repackaging</v>
      </c>
      <c r="D29" s="36" t="s">
        <v>108</v>
      </c>
      <c r="E29" s="30" t="s">
        <v>105</v>
      </c>
      <c r="F29" s="31">
        <v>250</v>
      </c>
      <c r="G29" s="43" t="s">
        <v>109</v>
      </c>
      <c r="H29" s="45">
        <v>167</v>
      </c>
      <c r="I29" s="45">
        <v>250</v>
      </c>
      <c r="J29" s="44">
        <v>250</v>
      </c>
      <c r="K29" s="43" t="s">
        <v>80</v>
      </c>
      <c r="L29" s="40" t="s">
        <v>81</v>
      </c>
      <c r="M29" s="41"/>
      <c r="N29" s="47" t="s">
        <v>110</v>
      </c>
    </row>
    <row r="30" spans="2:14" s="46" customFormat="1" ht="34.5" customHeight="1" x14ac:dyDescent="0.35">
      <c r="B30" s="42" t="s">
        <v>72</v>
      </c>
      <c r="C30" s="43" t="str">
        <f>_xlfn.CONCAT("Exposure Days - ",_xlfn.XLOOKUP(B30,'OES Lookups'!$B$4:$B$19,'OES Lookups'!$C$4:$C$19))</f>
        <v>Exposure Days - Processing as a reactant</v>
      </c>
      <c r="D30" s="36" t="s">
        <v>111</v>
      </c>
      <c r="E30" s="30" t="s">
        <v>105</v>
      </c>
      <c r="F30" s="31">
        <v>250</v>
      </c>
      <c r="G30" s="43" t="s">
        <v>56</v>
      </c>
      <c r="H30" s="44" t="s">
        <v>41</v>
      </c>
      <c r="I30" s="44" t="s">
        <v>41</v>
      </c>
      <c r="J30" s="44" t="s">
        <v>41</v>
      </c>
      <c r="K30" s="43" t="s">
        <v>57</v>
      </c>
      <c r="L30" s="44" t="s">
        <v>41</v>
      </c>
      <c r="M30" s="45">
        <f>F30</f>
        <v>250</v>
      </c>
      <c r="N30" s="48" t="s">
        <v>106</v>
      </c>
    </row>
    <row r="31" spans="2:14" s="46" customFormat="1" ht="34.5" customHeight="1" x14ac:dyDescent="0.35">
      <c r="B31" s="42" t="s">
        <v>75</v>
      </c>
      <c r="C31" s="43" t="str">
        <f>_xlfn.CONCAT("Exposure Days - ",_xlfn.XLOOKUP(B31,'OES Lookups'!$B$4:$B$19,'OES Lookups'!$C$4:$C$19))</f>
        <v>Exposure Days - Processing into formulation, mixture, or reaction product</v>
      </c>
      <c r="D31" s="36" t="s">
        <v>112</v>
      </c>
      <c r="E31" s="30" t="s">
        <v>105</v>
      </c>
      <c r="F31" s="31">
        <v>250</v>
      </c>
      <c r="G31" s="43" t="s">
        <v>56</v>
      </c>
      <c r="H31" s="44" t="s">
        <v>41</v>
      </c>
      <c r="I31" s="44" t="s">
        <v>41</v>
      </c>
      <c r="J31" s="44" t="s">
        <v>41</v>
      </c>
      <c r="K31" s="43" t="s">
        <v>57</v>
      </c>
      <c r="L31" s="44" t="s">
        <v>41</v>
      </c>
      <c r="M31" s="45">
        <f>F31</f>
        <v>250</v>
      </c>
      <c r="N31" s="48" t="s">
        <v>113</v>
      </c>
    </row>
    <row r="32" spans="2:14" s="46" customFormat="1" x14ac:dyDescent="0.35">
      <c r="B32" s="42" t="s">
        <v>78</v>
      </c>
      <c r="C32" s="43" t="str">
        <f>_xlfn.CONCAT("Exposure Days - ",_xlfn.XLOOKUP(B32,'OES Lookups'!$B$4:$B$19,'OES Lookups'!$C$4:$C$19))</f>
        <v>Exposure Days - Vapor degreasing</v>
      </c>
      <c r="D32" s="36" t="s">
        <v>114</v>
      </c>
      <c r="E32" s="30" t="s">
        <v>105</v>
      </c>
      <c r="F32" s="49">
        <v>250</v>
      </c>
      <c r="G32" s="43" t="s">
        <v>56</v>
      </c>
      <c r="H32" s="44" t="s">
        <v>41</v>
      </c>
      <c r="I32" s="44" t="s">
        <v>41</v>
      </c>
      <c r="J32" s="44" t="s">
        <v>41</v>
      </c>
      <c r="K32" s="43" t="s">
        <v>57</v>
      </c>
      <c r="L32" s="44" t="s">
        <v>41</v>
      </c>
      <c r="M32" s="45">
        <f>F32</f>
        <v>250</v>
      </c>
      <c r="N32" s="48" t="s">
        <v>115</v>
      </c>
    </row>
    <row r="33" spans="2:14" s="46" customFormat="1" ht="40.5" customHeight="1" x14ac:dyDescent="0.35">
      <c r="B33" s="42" t="s">
        <v>83</v>
      </c>
      <c r="C33" s="43" t="str">
        <f>_xlfn.CONCAT("Exposure Days - ",_xlfn.XLOOKUP(B33,'OES Lookups'!$B$4:$B$19,'OES Lookups'!$C$4:$C$19))</f>
        <v>Exposure Days - Commercial aerosol products (aerosol degreasing, aerosol lubricants, automotive care products)</v>
      </c>
      <c r="D33" s="36" t="s">
        <v>116</v>
      </c>
      <c r="E33" s="30" t="s">
        <v>105</v>
      </c>
      <c r="F33" s="31">
        <v>250</v>
      </c>
      <c r="G33" s="43" t="s">
        <v>56</v>
      </c>
      <c r="H33" s="44" t="s">
        <v>41</v>
      </c>
      <c r="I33" s="44" t="s">
        <v>41</v>
      </c>
      <c r="J33" s="44" t="s">
        <v>41</v>
      </c>
      <c r="K33" s="43" t="s">
        <v>57</v>
      </c>
      <c r="L33" s="44" t="s">
        <v>41</v>
      </c>
      <c r="M33" s="45">
        <f t="shared" ref="M33:M34" si="4">F33</f>
        <v>250</v>
      </c>
      <c r="N33" s="48" t="s">
        <v>117</v>
      </c>
    </row>
    <row r="34" spans="2:14" s="46" customFormat="1" ht="45" customHeight="1" x14ac:dyDescent="0.35">
      <c r="B34" s="42" t="s">
        <v>85</v>
      </c>
      <c r="C34" s="43" t="str">
        <f>_xlfn.CONCAT("Exposure Days - ",_xlfn.XLOOKUP(B34,'OES Lookups'!$B$4:$B$19,'OES Lookups'!$C$4:$C$19))</f>
        <v>Exposure Days - Industrial and commercial non-aerosol cleaning/degreasing</v>
      </c>
      <c r="D34" s="36" t="s">
        <v>118</v>
      </c>
      <c r="E34" s="30" t="s">
        <v>105</v>
      </c>
      <c r="F34" s="31">
        <v>250</v>
      </c>
      <c r="G34" s="43" t="s">
        <v>56</v>
      </c>
      <c r="H34" s="44" t="s">
        <v>41</v>
      </c>
      <c r="I34" s="44" t="s">
        <v>41</v>
      </c>
      <c r="J34" s="44" t="s">
        <v>41</v>
      </c>
      <c r="K34" s="43" t="s">
        <v>57</v>
      </c>
      <c r="L34" s="44" t="s">
        <v>41</v>
      </c>
      <c r="M34" s="45">
        <f t="shared" si="4"/>
        <v>250</v>
      </c>
      <c r="N34" s="48" t="s">
        <v>106</v>
      </c>
    </row>
    <row r="35" spans="2:14" s="46" customFormat="1" ht="34.5" customHeight="1" x14ac:dyDescent="0.35">
      <c r="B35" s="42" t="s">
        <v>87</v>
      </c>
      <c r="C35" s="43" t="str">
        <f>_xlfn.CONCAT("Exposure Days - ",_xlfn.XLOOKUP(B35,'OES Lookups'!$B$4:$B$19,'OES Lookups'!$C$4:$C$19))</f>
        <v>Exposure Days - Miscellaneous non-aerosol industrial and commercial uses</v>
      </c>
      <c r="D35" s="36" t="s">
        <v>119</v>
      </c>
      <c r="E35" s="30" t="s">
        <v>105</v>
      </c>
      <c r="F35" s="31">
        <v>250</v>
      </c>
      <c r="G35" s="43" t="s">
        <v>56</v>
      </c>
      <c r="H35" s="44" t="s">
        <v>41</v>
      </c>
      <c r="I35" s="44" t="s">
        <v>41</v>
      </c>
      <c r="J35" s="44" t="s">
        <v>41</v>
      </c>
      <c r="K35" s="43" t="s">
        <v>57</v>
      </c>
      <c r="L35" s="44" t="s">
        <v>41</v>
      </c>
      <c r="M35" s="45">
        <f t="shared" ref="M35:M39" si="5">F35</f>
        <v>250</v>
      </c>
      <c r="N35" s="48" t="s">
        <v>106</v>
      </c>
    </row>
    <row r="36" spans="2:14" s="46" customFormat="1" ht="34.5" customHeight="1" x14ac:dyDescent="0.35">
      <c r="B36" s="42" t="s">
        <v>89</v>
      </c>
      <c r="C36" s="43" t="str">
        <f>_xlfn.CONCAT("Exposure Days - ",_xlfn.XLOOKUP(B36,'OES Lookups'!$B$4:$B$19,'OES Lookups'!$C$4:$C$19))</f>
        <v>Exposure Days - Application of paints and coatings</v>
      </c>
      <c r="D36" s="36" t="s">
        <v>120</v>
      </c>
      <c r="E36" s="30" t="s">
        <v>105</v>
      </c>
      <c r="F36" s="31">
        <v>250</v>
      </c>
      <c r="G36" s="43" t="s">
        <v>56</v>
      </c>
      <c r="H36" s="44" t="s">
        <v>41</v>
      </c>
      <c r="I36" s="44" t="s">
        <v>41</v>
      </c>
      <c r="J36" s="44" t="s">
        <v>41</v>
      </c>
      <c r="K36" s="43" t="s">
        <v>57</v>
      </c>
      <c r="L36" s="44" t="s">
        <v>41</v>
      </c>
      <c r="M36" s="45">
        <f t="shared" si="5"/>
        <v>250</v>
      </c>
      <c r="N36" s="48" t="s">
        <v>106</v>
      </c>
    </row>
    <row r="37" spans="2:14" s="46" customFormat="1" ht="34.5" customHeight="1" x14ac:dyDescent="0.35">
      <c r="B37" s="42" t="s">
        <v>91</v>
      </c>
      <c r="C37" s="43" t="str">
        <f>_xlfn.CONCAT("Exposure Days - ",_xlfn.XLOOKUP(B37,'OES Lookups'!$B$4:$B$19,'OES Lookups'!$C$4:$C$19))</f>
        <v>Exposure Days - Application of adhesives and sealants</v>
      </c>
      <c r="D37" s="36" t="s">
        <v>121</v>
      </c>
      <c r="E37" s="30" t="s">
        <v>105</v>
      </c>
      <c r="F37" s="31">
        <v>250</v>
      </c>
      <c r="G37" s="43" t="s">
        <v>56</v>
      </c>
      <c r="H37" s="44" t="s">
        <v>41</v>
      </c>
      <c r="I37" s="44" t="s">
        <v>41</v>
      </c>
      <c r="J37" s="44" t="s">
        <v>41</v>
      </c>
      <c r="K37" s="43" t="s">
        <v>57</v>
      </c>
      <c r="L37" s="44" t="s">
        <v>41</v>
      </c>
      <c r="M37" s="45">
        <f t="shared" si="5"/>
        <v>250</v>
      </c>
      <c r="N37" s="48" t="s">
        <v>106</v>
      </c>
    </row>
    <row r="38" spans="2:14" s="46" customFormat="1" ht="34.5" customHeight="1" x14ac:dyDescent="0.35">
      <c r="B38" s="42" t="s">
        <v>93</v>
      </c>
      <c r="C38" s="43" t="str">
        <f>_xlfn.CONCAT("Exposure Days - ",_xlfn.XLOOKUP(B38,'OES Lookups'!$B$4:$B$19,'OES Lookups'!$C$4:$C$19))</f>
        <v>Exposure Days - Refrigerant and refrigerant flush</v>
      </c>
      <c r="D38" s="36" t="s">
        <v>122</v>
      </c>
      <c r="E38" s="30" t="s">
        <v>105</v>
      </c>
      <c r="F38" s="31">
        <v>250</v>
      </c>
      <c r="G38" s="43" t="s">
        <v>56</v>
      </c>
      <c r="H38" s="44" t="s">
        <v>41</v>
      </c>
      <c r="I38" s="44" t="s">
        <v>41</v>
      </c>
      <c r="J38" s="44" t="s">
        <v>41</v>
      </c>
      <c r="K38" s="43" t="s">
        <v>57</v>
      </c>
      <c r="L38" s="44" t="s">
        <v>41</v>
      </c>
      <c r="M38" s="45">
        <f t="shared" si="5"/>
        <v>250</v>
      </c>
      <c r="N38" s="48" t="s">
        <v>106</v>
      </c>
    </row>
    <row r="39" spans="2:14" s="46" customFormat="1" ht="34.5" customHeight="1" x14ac:dyDescent="0.35">
      <c r="B39" s="42" t="s">
        <v>95</v>
      </c>
      <c r="C39" s="43" t="str">
        <f>_xlfn.CONCAT("Exposure Days - ",_xlfn.XLOOKUP(B39,'OES Lookups'!$B$4:$B$19,'OES Lookups'!$C$4:$C$19))</f>
        <v>Exposure Days - Semiconductor manufacturing</v>
      </c>
      <c r="D39" s="36" t="s">
        <v>123</v>
      </c>
      <c r="E39" s="30" t="s">
        <v>105</v>
      </c>
      <c r="F39" s="31">
        <v>250</v>
      </c>
      <c r="G39" s="43" t="s">
        <v>56</v>
      </c>
      <c r="H39" s="44" t="s">
        <v>41</v>
      </c>
      <c r="I39" s="44" t="s">
        <v>41</v>
      </c>
      <c r="J39" s="44" t="s">
        <v>41</v>
      </c>
      <c r="K39" s="43" t="s">
        <v>57</v>
      </c>
      <c r="L39" s="44" t="s">
        <v>41</v>
      </c>
      <c r="M39" s="45">
        <f t="shared" si="5"/>
        <v>250</v>
      </c>
      <c r="N39" s="48" t="s">
        <v>106</v>
      </c>
    </row>
    <row r="40" spans="2:14" s="46" customFormat="1" ht="49" customHeight="1" x14ac:dyDescent="0.35">
      <c r="B40" s="42" t="s">
        <v>97</v>
      </c>
      <c r="C40" s="43" t="str">
        <f>_xlfn.CONCAT("Exposure Days - ",_xlfn.XLOOKUP(B40,'OES Lookups'!$B$4:$B$19,'OES Lookups'!$C$4:$C$19))</f>
        <v>Exposure Days - Commercial laboratory use</v>
      </c>
      <c r="D40" s="36" t="s">
        <v>124</v>
      </c>
      <c r="E40" s="30" t="s">
        <v>105</v>
      </c>
      <c r="F40" s="31">
        <v>250</v>
      </c>
      <c r="G40" s="43" t="s">
        <v>109</v>
      </c>
      <c r="H40" s="45">
        <v>167</v>
      </c>
      <c r="I40" s="45">
        <v>250</v>
      </c>
      <c r="J40" s="44">
        <v>250</v>
      </c>
      <c r="K40" s="43" t="s">
        <v>80</v>
      </c>
      <c r="L40" s="40" t="s">
        <v>81</v>
      </c>
      <c r="M40" s="41"/>
      <c r="N40" s="47" t="s">
        <v>125</v>
      </c>
    </row>
    <row r="41" spans="2:14" s="46" customFormat="1" ht="34.5" customHeight="1" x14ac:dyDescent="0.35">
      <c r="B41" s="42" t="s">
        <v>99</v>
      </c>
      <c r="C41" s="43" t="str">
        <f>_xlfn.CONCAT("Exposure Days - ",_xlfn.XLOOKUP(B41,'OES Lookups'!$B$4:$B$19,'OES Lookups'!$C$4:$C$19))</f>
        <v>Exposure Days - Blowing agent in spray foam</v>
      </c>
      <c r="D41" s="36" t="s">
        <v>126</v>
      </c>
      <c r="E41" s="30" t="s">
        <v>105</v>
      </c>
      <c r="F41" s="31">
        <v>250</v>
      </c>
      <c r="G41" s="43" t="s">
        <v>56</v>
      </c>
      <c r="H41" s="44" t="s">
        <v>41</v>
      </c>
      <c r="I41" s="44" t="s">
        <v>41</v>
      </c>
      <c r="J41" s="44" t="s">
        <v>41</v>
      </c>
      <c r="K41" s="43" t="s">
        <v>57</v>
      </c>
      <c r="L41" s="44" t="s">
        <v>41</v>
      </c>
      <c r="M41" s="45">
        <f t="shared" ref="M41" si="6">F41</f>
        <v>250</v>
      </c>
      <c r="N41" s="36" t="s">
        <v>106</v>
      </c>
    </row>
    <row r="42" spans="2:14" s="46" customFormat="1" ht="34.5" customHeight="1" x14ac:dyDescent="0.35">
      <c r="B42" s="42" t="s">
        <v>101</v>
      </c>
      <c r="C42" s="43" t="str">
        <f>_xlfn.CONCAT("Exposure Days - ",_xlfn.XLOOKUP(B42,'OES Lookups'!$B$4:$B$19,'OES Lookups'!$C$4:$C$19))</f>
        <v>Exposure Days - Waste handling, disposal, treatment, and recycling</v>
      </c>
      <c r="D42" s="36" t="s">
        <v>127</v>
      </c>
      <c r="E42" s="30" t="s">
        <v>105</v>
      </c>
      <c r="F42" s="31">
        <v>250</v>
      </c>
      <c r="G42" s="43" t="s">
        <v>56</v>
      </c>
      <c r="H42" s="44" t="s">
        <v>41</v>
      </c>
      <c r="I42" s="44" t="s">
        <v>41</v>
      </c>
      <c r="J42" s="44" t="s">
        <v>41</v>
      </c>
      <c r="K42" s="43" t="s">
        <v>57</v>
      </c>
      <c r="L42" s="44" t="s">
        <v>41</v>
      </c>
      <c r="M42" s="45">
        <f t="shared" ref="M42" si="7">F42</f>
        <v>250</v>
      </c>
      <c r="N42" s="36" t="s">
        <v>106</v>
      </c>
    </row>
    <row r="45" spans="2:14" s="9" customFormat="1" x14ac:dyDescent="0.35">
      <c r="C45" s="50" t="s">
        <v>128</v>
      </c>
      <c r="D45" s="51" t="s">
        <v>22</v>
      </c>
      <c r="E45" s="50" t="s">
        <v>31</v>
      </c>
      <c r="F45" s="50" t="s">
        <v>23</v>
      </c>
      <c r="G45" s="52" t="s">
        <v>29</v>
      </c>
      <c r="H45" s="52"/>
      <c r="I45" s="52"/>
      <c r="J45" s="52"/>
      <c r="K45" s="52"/>
      <c r="L45" s="52"/>
      <c r="M45" s="52"/>
      <c r="N45" s="52"/>
    </row>
    <row r="46" spans="2:14" s="9" customFormat="1" ht="45" customHeight="1" x14ac:dyDescent="0.35">
      <c r="C46" s="21" t="s">
        <v>129</v>
      </c>
      <c r="D46" s="21" t="s">
        <v>130</v>
      </c>
      <c r="E46" s="21">
        <v>1</v>
      </c>
      <c r="F46" s="21" t="s">
        <v>131</v>
      </c>
      <c r="G46" s="53" t="s">
        <v>132</v>
      </c>
      <c r="H46" s="53"/>
      <c r="I46" s="53"/>
      <c r="J46" s="53"/>
      <c r="K46" s="53"/>
      <c r="L46" s="53"/>
      <c r="M46" s="53"/>
      <c r="N46" s="53"/>
    </row>
    <row r="47" spans="2:14" s="9" customFormat="1" x14ac:dyDescent="0.35">
      <c r="C47" s="21" t="s">
        <v>133</v>
      </c>
      <c r="D47" s="21" t="s">
        <v>134</v>
      </c>
      <c r="E47" s="21">
        <v>22</v>
      </c>
      <c r="F47" s="21" t="s">
        <v>135</v>
      </c>
      <c r="G47" s="54"/>
      <c r="H47" s="54"/>
      <c r="I47" s="54"/>
      <c r="J47" s="54"/>
      <c r="K47" s="54"/>
      <c r="L47" s="54"/>
      <c r="M47" s="54"/>
      <c r="N47" s="54"/>
    </row>
    <row r="48" spans="2:14" s="9" customFormat="1" ht="15" customHeight="1" x14ac:dyDescent="0.35">
      <c r="C48" s="21" t="s">
        <v>136</v>
      </c>
      <c r="D48" s="21" t="s">
        <v>137</v>
      </c>
      <c r="E48" s="21">
        <v>30</v>
      </c>
      <c r="F48" s="21" t="s">
        <v>135</v>
      </c>
    </row>
    <row r="49" spans="3:14" s="9" customFormat="1" ht="29" x14ac:dyDescent="0.35">
      <c r="C49" s="36" t="s">
        <v>138</v>
      </c>
      <c r="D49" s="21" t="s">
        <v>139</v>
      </c>
      <c r="E49" s="21">
        <v>28470</v>
      </c>
      <c r="F49" s="21" t="s">
        <v>135</v>
      </c>
      <c r="G49" s="55" t="s">
        <v>140</v>
      </c>
      <c r="H49" s="56"/>
      <c r="I49" s="56"/>
      <c r="J49" s="56"/>
      <c r="K49" s="56"/>
      <c r="L49" s="56"/>
      <c r="M49" s="56"/>
      <c r="N49" s="57"/>
    </row>
    <row r="50" spans="3:14" s="9" customFormat="1" x14ac:dyDescent="0.35">
      <c r="C50" s="36" t="s">
        <v>141</v>
      </c>
      <c r="D50" s="21" t="s">
        <v>142</v>
      </c>
      <c r="E50" s="21">
        <v>365</v>
      </c>
      <c r="F50" s="21" t="s">
        <v>135</v>
      </c>
      <c r="G50" s="58"/>
      <c r="H50" s="58"/>
      <c r="I50" s="58"/>
      <c r="J50" s="58"/>
      <c r="K50" s="58"/>
      <c r="L50" s="58"/>
      <c r="M50" s="58"/>
      <c r="N50" s="58"/>
    </row>
  </sheetData>
  <sheetProtection sheet="1" objects="1" scenarios="1" formatCells="0" formatColumns="0" formatRows="0" sort="0" autoFilter="0"/>
  <autoFilter ref="B2:Q50" xr:uid="{A6C665F7-7556-4ADF-9F98-BECF6791D6E3}"/>
  <mergeCells count="25">
    <mergeCell ref="G50:N50"/>
    <mergeCell ref="G49:N49"/>
    <mergeCell ref="G45:N45"/>
    <mergeCell ref="G46:N46"/>
    <mergeCell ref="G47:N47"/>
    <mergeCell ref="N4:N5"/>
    <mergeCell ref="C4:C5"/>
    <mergeCell ref="D4:D5"/>
    <mergeCell ref="E4:E5"/>
    <mergeCell ref="F4:G4"/>
    <mergeCell ref="H4:J4"/>
    <mergeCell ref="K4:K5"/>
    <mergeCell ref="L4:L5"/>
    <mergeCell ref="M4:M5"/>
    <mergeCell ref="L16:M16"/>
    <mergeCell ref="L17:M17"/>
    <mergeCell ref="L18:M18"/>
    <mergeCell ref="L19:M19"/>
    <mergeCell ref="L20:M20"/>
    <mergeCell ref="L29:M29"/>
    <mergeCell ref="L40:M40"/>
    <mergeCell ref="L21:M21"/>
    <mergeCell ref="L22:M22"/>
    <mergeCell ref="L24:M24"/>
    <mergeCell ref="L25:M25"/>
  </mergeCells>
  <phoneticPr fontId="6" type="noConversion"/>
  <dataValidations count="1">
    <dataValidation type="list" allowBlank="1" showInputMessage="1" showErrorMessage="1" sqref="D2" xr:uid="{4E81E67C-CB37-428C-BC07-889DFD723BED}">
      <formula1>$Q$5:$Q$6</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FB43-E440-47F6-A35C-99A4F4CB1B3B}">
  <sheetPr codeName="Sheet4"/>
  <dimension ref="B2:BC203"/>
  <sheetViews>
    <sheetView workbookViewId="0"/>
  </sheetViews>
  <sheetFormatPr defaultRowHeight="14.5" x14ac:dyDescent="0.35"/>
  <cols>
    <col min="1" max="1" width="8.7265625" style="2"/>
    <col min="2" max="2" width="22.81640625" style="2" customWidth="1"/>
    <col min="3" max="4" width="8.7265625" style="2"/>
    <col min="5" max="5" width="11.7265625" style="2" customWidth="1"/>
    <col min="6" max="6" width="8.7265625" style="2"/>
    <col min="7" max="7" width="23.453125" style="2" customWidth="1"/>
    <col min="8" max="9" width="8.7265625" style="2"/>
    <col min="10" max="10" width="12.7265625" style="2" customWidth="1"/>
    <col min="11" max="11" width="8.7265625" style="2"/>
    <col min="12" max="12" width="23.1796875" style="2" customWidth="1"/>
    <col min="13" max="14" width="8.7265625" style="2"/>
    <col min="15" max="15" width="12" style="2" customWidth="1"/>
    <col min="16" max="16" width="8.7265625" style="2"/>
    <col min="17" max="17" width="24" style="2" customWidth="1"/>
    <col min="18" max="19" width="8.7265625" style="2"/>
    <col min="20" max="20" width="12.1796875" style="2" customWidth="1"/>
    <col min="21" max="21" width="8.7265625" style="2"/>
    <col min="22" max="22" width="23" style="2" customWidth="1"/>
    <col min="23" max="24" width="8.7265625" style="2"/>
    <col min="25" max="25" width="11.81640625" style="2" customWidth="1"/>
    <col min="26" max="26" width="8.7265625" style="2"/>
    <col min="27" max="27" width="23.453125" style="2" customWidth="1"/>
    <col min="28" max="29" width="8.7265625" style="2"/>
    <col min="30" max="30" width="11.81640625" style="2" customWidth="1"/>
    <col min="31" max="31" width="8.7265625" style="2"/>
    <col min="32" max="32" width="22.7265625" style="2" customWidth="1"/>
    <col min="33" max="36" width="8.7265625" style="2"/>
    <col min="37" max="37" width="22.453125" style="2" customWidth="1"/>
    <col min="38" max="39" width="8.7265625" style="2"/>
    <col min="40" max="40" width="11.7265625" style="2" customWidth="1"/>
    <col min="41" max="41" width="8.7265625" style="2"/>
    <col min="42" max="42" width="23" style="2" customWidth="1"/>
    <col min="43" max="44" width="8.7265625" style="2"/>
    <col min="45" max="45" width="11.453125" style="2" customWidth="1"/>
    <col min="46" max="46" width="8.7265625" style="2"/>
    <col min="47" max="47" width="24" style="2" customWidth="1"/>
    <col min="48" max="51" width="8.7265625" style="2"/>
    <col min="52" max="52" width="15.7265625" style="2" customWidth="1"/>
    <col min="53" max="53" width="13.54296875" style="2" customWidth="1"/>
    <col min="54" max="16384" width="8.7265625" style="2"/>
  </cols>
  <sheetData>
    <row r="2" spans="2:55" ht="30.65" customHeight="1" x14ac:dyDescent="0.35">
      <c r="B2" s="52" t="s">
        <v>143</v>
      </c>
      <c r="C2" s="52"/>
      <c r="D2" s="52"/>
      <c r="E2" s="52"/>
      <c r="F2" s="59"/>
      <c r="G2" s="22" t="s">
        <v>144</v>
      </c>
      <c r="H2" s="22"/>
      <c r="I2" s="22"/>
      <c r="J2" s="22"/>
      <c r="K2" s="59"/>
      <c r="L2" s="52" t="s">
        <v>145</v>
      </c>
      <c r="M2" s="52"/>
      <c r="N2" s="52"/>
      <c r="O2" s="52"/>
      <c r="P2" s="59"/>
      <c r="Q2" s="60" t="s">
        <v>146</v>
      </c>
      <c r="R2" s="60"/>
      <c r="S2" s="60"/>
      <c r="T2" s="60"/>
      <c r="U2" s="59"/>
      <c r="V2" s="22" t="s">
        <v>147</v>
      </c>
      <c r="W2" s="22"/>
      <c r="X2" s="22"/>
      <c r="Y2" s="22"/>
      <c r="Z2" s="59"/>
      <c r="AA2" s="22" t="s">
        <v>148</v>
      </c>
      <c r="AB2" s="22"/>
      <c r="AC2" s="22"/>
      <c r="AD2" s="22"/>
      <c r="AE2" s="59"/>
      <c r="AF2" s="22" t="s">
        <v>149</v>
      </c>
      <c r="AG2" s="22"/>
      <c r="AH2" s="22"/>
      <c r="AI2" s="22"/>
      <c r="AJ2" s="59"/>
      <c r="AK2" s="22" t="s">
        <v>150</v>
      </c>
      <c r="AL2" s="22"/>
      <c r="AM2" s="22"/>
      <c r="AN2" s="22"/>
      <c r="AO2" s="59"/>
      <c r="AP2" s="22" t="s">
        <v>151</v>
      </c>
      <c r="AQ2" s="22"/>
      <c r="AR2" s="22"/>
      <c r="AS2" s="22"/>
      <c r="AU2" s="22" t="s">
        <v>152</v>
      </c>
      <c r="AV2" s="22"/>
      <c r="AW2" s="22"/>
      <c r="AX2" s="22"/>
      <c r="AZ2" s="22" t="s">
        <v>153</v>
      </c>
      <c r="BA2" s="22"/>
      <c r="BB2" s="22"/>
      <c r="BC2" s="22"/>
    </row>
    <row r="3" spans="2:55" ht="31" customHeight="1" x14ac:dyDescent="0.45">
      <c r="B3" s="61" t="s">
        <v>154</v>
      </c>
      <c r="C3" s="62" t="s">
        <v>155</v>
      </c>
      <c r="D3" s="61" t="e" cm="1">
        <f t="array" aca="1" ref="D3" ca="1">_xll.RiskOutput()+VLOOKUP(E5,B74:E141,4,FALSE)</f>
        <v>#NAME?</v>
      </c>
      <c r="E3" s="61" t="s">
        <v>61</v>
      </c>
      <c r="G3" s="61" t="s">
        <v>154</v>
      </c>
      <c r="H3" s="62" t="s">
        <v>155</v>
      </c>
      <c r="I3" s="61" t="e" cm="1">
        <f t="array" aca="1" ref="I3" ca="1">_xll.RiskOutput()+VLOOKUP(J5,G105:J203,4,FALSE)</f>
        <v>#NAME?</v>
      </c>
      <c r="J3" s="61" t="s">
        <v>61</v>
      </c>
      <c r="L3" s="50" t="s">
        <v>154</v>
      </c>
      <c r="M3" s="51" t="s">
        <v>155</v>
      </c>
      <c r="N3" s="50" t="e" cm="1">
        <f t="array" aca="1" ref="N3" ca="1">_xll.RiskOutput()+VLOOKUP(O5,L41:O75,4,FALSE)</f>
        <v>#NAME?</v>
      </c>
      <c r="O3" s="50" t="s">
        <v>61</v>
      </c>
      <c r="Q3" s="50" t="s">
        <v>154</v>
      </c>
      <c r="R3" s="51" t="s">
        <v>155</v>
      </c>
      <c r="S3" s="50" t="e" cm="1">
        <f t="array" aca="1" ref="S3" ca="1">_xll.RiskOutput()+VLOOKUP(T5,Q21:T35,4,FALSE)</f>
        <v>#NAME?</v>
      </c>
      <c r="T3" s="50" t="s">
        <v>61</v>
      </c>
      <c r="V3" s="50" t="s">
        <v>154</v>
      </c>
      <c r="W3" s="51" t="s">
        <v>155</v>
      </c>
      <c r="X3" s="50" t="e" cm="1">
        <f t="array" aca="1" ref="X3" ca="1">_xll.RiskOutput()+VLOOKUP(Y5,V13:Y19,4,FALSE)</f>
        <v>#NAME?</v>
      </c>
      <c r="Y3" s="50" t="s">
        <v>61</v>
      </c>
      <c r="AA3" s="50" t="s">
        <v>154</v>
      </c>
      <c r="AB3" s="51" t="s">
        <v>155</v>
      </c>
      <c r="AC3" s="50" t="e" cm="1">
        <f t="array" aca="1" ref="AC3" ca="1">_xll.RiskOutput()+VLOOKUP(AD5,AA9:AD11,4,FALSE)</f>
        <v>#NAME?</v>
      </c>
      <c r="AD3" s="50" t="s">
        <v>61</v>
      </c>
      <c r="AF3" s="50" t="s">
        <v>154</v>
      </c>
      <c r="AG3" s="51" t="s">
        <v>155</v>
      </c>
      <c r="AH3" s="50" t="e" cm="1">
        <f t="array" aca="1" ref="AH3" ca="1">_xll.RiskOutput()+VLOOKUP(AI5,AF16:AI25,4,FALSE)</f>
        <v>#NAME?</v>
      </c>
      <c r="AI3" s="50" t="s">
        <v>61</v>
      </c>
      <c r="AK3" s="50" t="s">
        <v>154</v>
      </c>
      <c r="AL3" s="51" t="s">
        <v>155</v>
      </c>
      <c r="AM3" s="50" t="e" cm="1">
        <f t="array" aca="1" ref="AM3" ca="1">_xll.RiskOutput()+VLOOKUP(AN5,AK10:AN13,4,FALSE)</f>
        <v>#NAME?</v>
      </c>
      <c r="AN3" s="50" t="s">
        <v>61</v>
      </c>
      <c r="AP3" s="50" t="s">
        <v>154</v>
      </c>
      <c r="AQ3" s="51" t="s">
        <v>155</v>
      </c>
      <c r="AR3" s="50" t="e" cm="1">
        <f t="array" aca="1" ref="AR3" ca="1">_xll.RiskOutput()+VLOOKUP(AS5,AP14:AS21,4,FALSE)</f>
        <v>#NAME?</v>
      </c>
      <c r="AS3" s="50" t="s">
        <v>61</v>
      </c>
      <c r="AU3" s="50" t="s">
        <v>156</v>
      </c>
      <c r="AV3" s="51" t="s">
        <v>157</v>
      </c>
      <c r="AW3" s="50" t="e" cm="1">
        <f t="array" aca="1" ref="AW3" ca="1">_xll.RiskOutput()+VLOOKUP(AX5,AU9:AV11,2,FALSE)</f>
        <v>#NAME?</v>
      </c>
      <c r="AX3" s="50" t="s">
        <v>105</v>
      </c>
      <c r="AZ3" s="50" t="s">
        <v>156</v>
      </c>
      <c r="BA3" s="51" t="s">
        <v>157</v>
      </c>
      <c r="BB3" s="50" t="e" cm="1">
        <f t="array" aca="1" ref="BB3" ca="1">_xll.RiskOutput()+VLOOKUP(BC5,AZ9:BA11,2,FALSE)</f>
        <v>#NAME?</v>
      </c>
      <c r="BC3" s="50" t="s">
        <v>105</v>
      </c>
    </row>
    <row r="4" spans="2:55" ht="43.5" x14ac:dyDescent="0.35">
      <c r="B4" s="63" t="s">
        <v>158</v>
      </c>
      <c r="C4" s="64" t="s">
        <v>159</v>
      </c>
      <c r="D4" s="64"/>
      <c r="E4" s="65" t="s">
        <v>160</v>
      </c>
      <c r="G4" s="63" t="s">
        <v>158</v>
      </c>
      <c r="H4" s="64" t="s">
        <v>159</v>
      </c>
      <c r="I4" s="64"/>
      <c r="J4" s="65" t="s">
        <v>160</v>
      </c>
      <c r="L4" s="63" t="s">
        <v>158</v>
      </c>
      <c r="M4" s="64" t="s">
        <v>159</v>
      </c>
      <c r="N4" s="64"/>
      <c r="O4" s="65" t="s">
        <v>160</v>
      </c>
      <c r="Q4" s="63" t="s">
        <v>158</v>
      </c>
      <c r="R4" s="64" t="s">
        <v>159</v>
      </c>
      <c r="S4" s="64"/>
      <c r="T4" s="65" t="s">
        <v>160</v>
      </c>
      <c r="V4" s="63" t="s">
        <v>158</v>
      </c>
      <c r="W4" s="64" t="s">
        <v>159</v>
      </c>
      <c r="X4" s="64"/>
      <c r="Y4" s="65" t="s">
        <v>160</v>
      </c>
      <c r="AA4" s="63" t="s">
        <v>158</v>
      </c>
      <c r="AB4" s="64" t="s">
        <v>159</v>
      </c>
      <c r="AC4" s="64"/>
      <c r="AD4" s="65" t="s">
        <v>160</v>
      </c>
      <c r="AF4" s="63" t="s">
        <v>158</v>
      </c>
      <c r="AG4" s="64" t="s">
        <v>159</v>
      </c>
      <c r="AH4" s="64"/>
      <c r="AI4" s="65" t="s">
        <v>160</v>
      </c>
      <c r="AK4" s="63" t="s">
        <v>158</v>
      </c>
      <c r="AL4" s="64" t="s">
        <v>159</v>
      </c>
      <c r="AM4" s="64"/>
      <c r="AN4" s="65" t="s">
        <v>160</v>
      </c>
      <c r="AP4" s="63" t="s">
        <v>158</v>
      </c>
      <c r="AQ4" s="64" t="s">
        <v>159</v>
      </c>
      <c r="AR4" s="64"/>
      <c r="AS4" s="65" t="s">
        <v>160</v>
      </c>
      <c r="AU4" s="63" t="s">
        <v>161</v>
      </c>
      <c r="AV4" s="64" t="s">
        <v>159</v>
      </c>
      <c r="AW4" s="64"/>
      <c r="AX4" s="65" t="s">
        <v>162</v>
      </c>
      <c r="AZ4" s="63" t="s">
        <v>161</v>
      </c>
      <c r="BA4" s="64" t="s">
        <v>159</v>
      </c>
      <c r="BB4" s="64"/>
      <c r="BC4" s="65" t="s">
        <v>162</v>
      </c>
    </row>
    <row r="5" spans="2:55" x14ac:dyDescent="0.35">
      <c r="B5" s="66">
        <v>1</v>
      </c>
      <c r="C5" s="67">
        <v>1</v>
      </c>
      <c r="D5" s="68">
        <f>1/68</f>
        <v>1.4705882352941176E-2</v>
      </c>
      <c r="E5" s="67" t="e" cm="1">
        <f t="array" aca="1" ref="E5" ca="1">_xll.RiskDiscrete(B5:B72,D5:D72,_xll.RiskName("Sampled Formulation Type"),_xll.RiskStatic(1))</f>
        <v>#NAME?</v>
      </c>
      <c r="G5" s="66">
        <v>1</v>
      </c>
      <c r="H5" s="67">
        <v>1</v>
      </c>
      <c r="I5" s="68">
        <f>1/99</f>
        <v>1.0101010101010102E-2</v>
      </c>
      <c r="J5" s="67" t="e" cm="1">
        <f t="array" aca="1" ref="J5" ca="1">_xll.RiskDiscrete(G5:G103,I5:I103,_xll.RiskName("Sampled Formulation Type"),_xll.RiskStatic(1))</f>
        <v>#NAME?</v>
      </c>
      <c r="L5" s="66">
        <v>1</v>
      </c>
      <c r="M5" s="67">
        <v>1</v>
      </c>
      <c r="N5" s="68">
        <f>1/35</f>
        <v>2.8571428571428571E-2</v>
      </c>
      <c r="O5" s="67" t="e" cm="1">
        <f t="array" aca="1" ref="O5" ca="1">_xll.RiskDiscrete(L5:L39,N5:N39,_xll.RiskName("Sampled Formulation Type"),_xll.RiskStatic(1))</f>
        <v>#NAME?</v>
      </c>
      <c r="Q5" s="66">
        <v>1</v>
      </c>
      <c r="R5" s="67">
        <v>1</v>
      </c>
      <c r="S5" s="68">
        <f>1/15</f>
        <v>6.6666666666666666E-2</v>
      </c>
      <c r="T5" s="67" t="e" cm="1">
        <f t="array" aca="1" ref="T5" ca="1">_xll.RiskDiscrete(Q5:Q19,S5:S19,_xll.RiskName("Sampled Formulation Type"),_xll.RiskStatic(1))</f>
        <v>#NAME?</v>
      </c>
      <c r="V5" s="66">
        <v>1</v>
      </c>
      <c r="W5" s="67">
        <v>1</v>
      </c>
      <c r="X5" s="68">
        <f>1/7</f>
        <v>0.14285714285714285</v>
      </c>
      <c r="Y5" s="67" t="e" cm="1">
        <f t="array" aca="1" ref="Y5" ca="1">_xll.RiskDiscrete(V5:V11,X5:X11,_xll.RiskName("Sampled Formulation Type"),_xll.RiskStatic(1))</f>
        <v>#NAME?</v>
      </c>
      <c r="AA5" s="66">
        <v>1</v>
      </c>
      <c r="AB5" s="67">
        <v>1</v>
      </c>
      <c r="AC5" s="68">
        <f>1/3</f>
        <v>0.33333333333333331</v>
      </c>
      <c r="AD5" s="67" t="e" cm="1">
        <f t="array" aca="1" ref="AD5" ca="1">_xll.RiskDiscrete(AA5:AA7,AC5:AC7,_xll.RiskName("Sampled Formulation Type"),_xll.RiskStatic(1))</f>
        <v>#NAME?</v>
      </c>
      <c r="AF5" s="66">
        <v>1</v>
      </c>
      <c r="AG5" s="67">
        <v>1</v>
      </c>
      <c r="AH5" s="68">
        <f>1/10</f>
        <v>0.1</v>
      </c>
      <c r="AI5" s="67" t="e" cm="1">
        <f t="array" aca="1" ref="AI5" ca="1">_xll.RiskDiscrete(AF5:AF14,AH5:AH14,_xll.RiskName("Sampled Formulation Type"),_xll.RiskStatic(1))</f>
        <v>#NAME?</v>
      </c>
      <c r="AK5" s="66">
        <v>1</v>
      </c>
      <c r="AL5" s="67">
        <v>1</v>
      </c>
      <c r="AM5" s="68">
        <f>1/4</f>
        <v>0.25</v>
      </c>
      <c r="AN5" s="67" t="e" cm="1">
        <f t="array" aca="1" ref="AN5" ca="1">_xll.RiskDiscrete(AK5:AK8,AM5:AM8,_xll.RiskName("Sampled Formulation Type"),_xll.RiskStatic(1))</f>
        <v>#NAME?</v>
      </c>
      <c r="AP5" s="66">
        <v>1</v>
      </c>
      <c r="AQ5" s="67">
        <v>1</v>
      </c>
      <c r="AR5" s="68">
        <f>1/8</f>
        <v>0.125</v>
      </c>
      <c r="AS5" s="67" t="e" cm="1">
        <f t="array" aca="1" ref="AS5" ca="1">_xll.RiskDiscrete(AP5:AP12,AR5:AR12,_xll.RiskName("Sampled Formulation Type"),_xll.RiskStatic(1))</f>
        <v>#NAME?</v>
      </c>
      <c r="AU5" s="66">
        <v>1</v>
      </c>
      <c r="AV5" s="67">
        <v>1</v>
      </c>
      <c r="AW5" s="68">
        <f>1/3</f>
        <v>0.33333333333333331</v>
      </c>
      <c r="AX5" s="67" t="e" cm="1">
        <f t="array" aca="1" ref="AX5" ca="1">_xll.RiskDiscrete(AU5:AU7,AW5:AW7,_xll.RiskName("Sampled Formulation Type"),_xll.RiskStatic(1))</f>
        <v>#NAME?</v>
      </c>
      <c r="AZ5" s="66">
        <v>1</v>
      </c>
      <c r="BA5" s="67">
        <v>1</v>
      </c>
      <c r="BB5" s="68">
        <f>1/3</f>
        <v>0.33333333333333331</v>
      </c>
      <c r="BC5" s="67" t="e" cm="1">
        <f t="array" aca="1" ref="BC5" ca="1">_xll.RiskDiscrete(AZ5:AZ7,BB5:BB7,_xll.RiskName("Sampled Formulation Type"),_xll.RiskStatic(1))</f>
        <v>#NAME?</v>
      </c>
    </row>
    <row r="6" spans="2:55" x14ac:dyDescent="0.35">
      <c r="B6" s="66">
        <v>2</v>
      </c>
      <c r="C6" s="67">
        <v>1</v>
      </c>
      <c r="D6" s="68">
        <f t="shared" ref="D6:D69" si="0">1/68</f>
        <v>1.4705882352941176E-2</v>
      </c>
      <c r="E6" s="67"/>
      <c r="G6" s="66">
        <v>2</v>
      </c>
      <c r="H6" s="67">
        <v>1</v>
      </c>
      <c r="I6" s="68">
        <f t="shared" ref="I6:I69" si="1">1/99</f>
        <v>1.0101010101010102E-2</v>
      </c>
      <c r="J6" s="67"/>
      <c r="L6" s="66">
        <v>2</v>
      </c>
      <c r="M6" s="67">
        <v>1</v>
      </c>
      <c r="N6" s="68">
        <f t="shared" ref="N6:N39" si="2">1/35</f>
        <v>2.8571428571428571E-2</v>
      </c>
      <c r="O6" s="67"/>
      <c r="Q6" s="66">
        <v>2</v>
      </c>
      <c r="R6" s="67">
        <v>1</v>
      </c>
      <c r="S6" s="68">
        <f t="shared" ref="S6:S19" si="3">1/15</f>
        <v>6.6666666666666666E-2</v>
      </c>
      <c r="T6" s="67"/>
      <c r="V6" s="66">
        <v>2</v>
      </c>
      <c r="W6" s="67">
        <v>1</v>
      </c>
      <c r="X6" s="68">
        <f t="shared" ref="X6:X11" si="4">1/7</f>
        <v>0.14285714285714285</v>
      </c>
      <c r="Y6" s="67"/>
      <c r="AA6" s="66">
        <v>2</v>
      </c>
      <c r="AB6" s="67">
        <v>1</v>
      </c>
      <c r="AC6" s="68">
        <f t="shared" ref="AC6:AC7" si="5">1/3</f>
        <v>0.33333333333333331</v>
      </c>
      <c r="AD6" s="67"/>
      <c r="AF6" s="66">
        <v>2</v>
      </c>
      <c r="AG6" s="67">
        <v>1</v>
      </c>
      <c r="AH6" s="68">
        <f t="shared" ref="AH6:AH14" si="6">1/10</f>
        <v>0.1</v>
      </c>
      <c r="AI6" s="67"/>
      <c r="AK6" s="66">
        <v>2</v>
      </c>
      <c r="AL6" s="67">
        <v>1</v>
      </c>
      <c r="AM6" s="68">
        <f t="shared" ref="AM6:AM8" si="7">1/4</f>
        <v>0.25</v>
      </c>
      <c r="AN6" s="67"/>
      <c r="AP6" s="66">
        <v>2</v>
      </c>
      <c r="AQ6" s="67">
        <v>1</v>
      </c>
      <c r="AR6" s="68">
        <f t="shared" ref="AR6:AR12" si="8">1/8</f>
        <v>0.125</v>
      </c>
      <c r="AS6" s="67"/>
      <c r="AU6" s="66">
        <v>2</v>
      </c>
      <c r="AV6" s="67">
        <v>1</v>
      </c>
      <c r="AW6" s="68">
        <f t="shared" ref="AW6:AW7" si="9">1/3</f>
        <v>0.33333333333333331</v>
      </c>
      <c r="AX6" s="67"/>
      <c r="AZ6" s="66">
        <v>2</v>
      </c>
      <c r="BA6" s="67">
        <v>1</v>
      </c>
      <c r="BB6" s="68">
        <f t="shared" ref="BB6:BB7" si="10">1/3</f>
        <v>0.33333333333333331</v>
      </c>
      <c r="BC6" s="67"/>
    </row>
    <row r="7" spans="2:55" x14ac:dyDescent="0.35">
      <c r="B7" s="66">
        <v>3</v>
      </c>
      <c r="C7" s="67">
        <v>1</v>
      </c>
      <c r="D7" s="68">
        <f t="shared" si="0"/>
        <v>1.4705882352941176E-2</v>
      </c>
      <c r="E7" s="67"/>
      <c r="G7" s="66">
        <v>3</v>
      </c>
      <c r="H7" s="67">
        <v>1</v>
      </c>
      <c r="I7" s="68">
        <f t="shared" si="1"/>
        <v>1.0101010101010102E-2</v>
      </c>
      <c r="J7" s="67"/>
      <c r="L7" s="66">
        <v>3</v>
      </c>
      <c r="M7" s="67">
        <v>1</v>
      </c>
      <c r="N7" s="68">
        <f t="shared" si="2"/>
        <v>2.8571428571428571E-2</v>
      </c>
      <c r="O7" s="67"/>
      <c r="Q7" s="66">
        <v>3</v>
      </c>
      <c r="R7" s="67">
        <v>1</v>
      </c>
      <c r="S7" s="68">
        <f t="shared" si="3"/>
        <v>6.6666666666666666E-2</v>
      </c>
      <c r="T7" s="67"/>
      <c r="V7" s="66">
        <v>3</v>
      </c>
      <c r="W7" s="67">
        <v>1</v>
      </c>
      <c r="X7" s="68">
        <f t="shared" si="4"/>
        <v>0.14285714285714285</v>
      </c>
      <c r="Y7" s="67"/>
      <c r="AA7" s="66">
        <v>3</v>
      </c>
      <c r="AB7" s="67">
        <v>1</v>
      </c>
      <c r="AC7" s="68">
        <f t="shared" si="5"/>
        <v>0.33333333333333331</v>
      </c>
      <c r="AD7" s="67"/>
      <c r="AF7" s="66">
        <v>3</v>
      </c>
      <c r="AG7" s="67">
        <v>1</v>
      </c>
      <c r="AH7" s="68">
        <f t="shared" si="6"/>
        <v>0.1</v>
      </c>
      <c r="AI7" s="67"/>
      <c r="AK7" s="66">
        <v>3</v>
      </c>
      <c r="AL7" s="67">
        <v>1</v>
      </c>
      <c r="AM7" s="68">
        <f t="shared" si="7"/>
        <v>0.25</v>
      </c>
      <c r="AN7" s="67"/>
      <c r="AP7" s="66">
        <v>3</v>
      </c>
      <c r="AQ7" s="67">
        <v>1</v>
      </c>
      <c r="AR7" s="68">
        <f t="shared" si="8"/>
        <v>0.125</v>
      </c>
      <c r="AS7" s="67"/>
      <c r="AU7" s="66">
        <v>3</v>
      </c>
      <c r="AV7" s="67">
        <v>1</v>
      </c>
      <c r="AW7" s="68">
        <f t="shared" si="9"/>
        <v>0.33333333333333331</v>
      </c>
      <c r="AX7" s="67"/>
      <c r="AZ7" s="66">
        <v>3</v>
      </c>
      <c r="BA7" s="67">
        <v>1</v>
      </c>
      <c r="BB7" s="68">
        <f t="shared" si="10"/>
        <v>0.33333333333333331</v>
      </c>
      <c r="BC7" s="67"/>
    </row>
    <row r="8" spans="2:55" ht="29.15" customHeight="1" x14ac:dyDescent="0.35">
      <c r="B8" s="66">
        <v>4</v>
      </c>
      <c r="C8" s="67">
        <v>1</v>
      </c>
      <c r="D8" s="68">
        <f t="shared" si="0"/>
        <v>1.4705882352941176E-2</v>
      </c>
      <c r="E8" s="67"/>
      <c r="G8" s="66">
        <v>4</v>
      </c>
      <c r="H8" s="67">
        <v>1</v>
      </c>
      <c r="I8" s="68">
        <f t="shared" si="1"/>
        <v>1.0101010101010102E-2</v>
      </c>
      <c r="J8" s="67"/>
      <c r="L8" s="66">
        <v>4</v>
      </c>
      <c r="M8" s="67">
        <v>1</v>
      </c>
      <c r="N8" s="68">
        <f t="shared" si="2"/>
        <v>2.8571428571428571E-2</v>
      </c>
      <c r="O8" s="67"/>
      <c r="Q8" s="66">
        <v>4</v>
      </c>
      <c r="R8" s="67">
        <v>1</v>
      </c>
      <c r="S8" s="68">
        <f t="shared" si="3"/>
        <v>6.6666666666666666E-2</v>
      </c>
      <c r="T8" s="67"/>
      <c r="V8" s="66">
        <v>4</v>
      </c>
      <c r="W8" s="67">
        <v>1</v>
      </c>
      <c r="X8" s="68">
        <f t="shared" si="4"/>
        <v>0.14285714285714285</v>
      </c>
      <c r="Y8" s="67"/>
      <c r="AA8" s="50" t="s">
        <v>163</v>
      </c>
      <c r="AB8" s="69" t="s">
        <v>164</v>
      </c>
      <c r="AC8" s="70"/>
      <c r="AD8" s="27" t="s">
        <v>165</v>
      </c>
      <c r="AF8" s="66">
        <v>4</v>
      </c>
      <c r="AG8" s="67">
        <v>1</v>
      </c>
      <c r="AH8" s="68">
        <f t="shared" si="6"/>
        <v>0.1</v>
      </c>
      <c r="AI8" s="67"/>
      <c r="AK8" s="66">
        <v>4</v>
      </c>
      <c r="AL8" s="67">
        <v>1</v>
      </c>
      <c r="AM8" s="68">
        <f t="shared" si="7"/>
        <v>0.25</v>
      </c>
      <c r="AN8" s="67"/>
      <c r="AP8" s="66">
        <v>4</v>
      </c>
      <c r="AQ8" s="67">
        <v>1</v>
      </c>
      <c r="AR8" s="68">
        <f t="shared" si="8"/>
        <v>0.125</v>
      </c>
      <c r="AS8" s="67"/>
      <c r="AU8" s="50" t="s">
        <v>166</v>
      </c>
      <c r="AV8" s="50" t="s">
        <v>167</v>
      </c>
      <c r="AZ8" s="50" t="s">
        <v>166</v>
      </c>
      <c r="BA8" s="50" t="s">
        <v>167</v>
      </c>
    </row>
    <row r="9" spans="2:55" ht="29" x14ac:dyDescent="0.35">
      <c r="B9" s="66">
        <v>5</v>
      </c>
      <c r="C9" s="67">
        <v>1</v>
      </c>
      <c r="D9" s="68">
        <f t="shared" si="0"/>
        <v>1.4705882352941176E-2</v>
      </c>
      <c r="E9" s="67"/>
      <c r="G9" s="66">
        <v>5</v>
      </c>
      <c r="H9" s="67">
        <v>1</v>
      </c>
      <c r="I9" s="68">
        <f t="shared" si="1"/>
        <v>1.0101010101010102E-2</v>
      </c>
      <c r="J9" s="71"/>
      <c r="L9" s="66">
        <v>5</v>
      </c>
      <c r="M9" s="67">
        <v>1</v>
      </c>
      <c r="N9" s="68">
        <f t="shared" si="2"/>
        <v>2.8571428571428571E-2</v>
      </c>
      <c r="O9" s="67"/>
      <c r="Q9" s="66">
        <v>5</v>
      </c>
      <c r="R9" s="67">
        <v>1</v>
      </c>
      <c r="S9" s="68">
        <f t="shared" si="3"/>
        <v>6.6666666666666666E-2</v>
      </c>
      <c r="T9" s="67"/>
      <c r="V9" s="66">
        <v>5</v>
      </c>
      <c r="W9" s="67">
        <v>1</v>
      </c>
      <c r="X9" s="68">
        <f t="shared" si="4"/>
        <v>0.14285714285714285</v>
      </c>
      <c r="Y9" s="67"/>
      <c r="AA9" s="66">
        <v>1</v>
      </c>
      <c r="AB9" s="72">
        <v>0.01</v>
      </c>
      <c r="AC9" s="72">
        <v>0.05</v>
      </c>
      <c r="AD9" s="73" t="e" cm="1">
        <f t="array" aca="1" ref="AD9" ca="1">_xll.RiskUniform(AB9,AC9)</f>
        <v>#NAME?</v>
      </c>
      <c r="AF9" s="66">
        <v>5</v>
      </c>
      <c r="AG9" s="67">
        <v>1</v>
      </c>
      <c r="AH9" s="68">
        <f t="shared" si="6"/>
        <v>0.1</v>
      </c>
      <c r="AI9" s="67"/>
      <c r="AK9" s="50" t="s">
        <v>163</v>
      </c>
      <c r="AL9" s="69" t="s">
        <v>164</v>
      </c>
      <c r="AM9" s="70"/>
      <c r="AN9" s="27" t="s">
        <v>165</v>
      </c>
      <c r="AP9" s="66">
        <v>5</v>
      </c>
      <c r="AQ9" s="67">
        <v>1</v>
      </c>
      <c r="AR9" s="68">
        <f t="shared" si="8"/>
        <v>0.125</v>
      </c>
      <c r="AS9" s="67"/>
      <c r="AU9" s="66">
        <v>1</v>
      </c>
      <c r="AV9" s="74">
        <v>250</v>
      </c>
      <c r="AZ9" s="66">
        <v>1</v>
      </c>
      <c r="BA9" s="74">
        <v>250</v>
      </c>
    </row>
    <row r="10" spans="2:55" x14ac:dyDescent="0.35">
      <c r="B10" s="66">
        <v>6</v>
      </c>
      <c r="C10" s="67">
        <v>1</v>
      </c>
      <c r="D10" s="68">
        <f t="shared" si="0"/>
        <v>1.4705882352941176E-2</v>
      </c>
      <c r="E10" s="67"/>
      <c r="G10" s="66">
        <v>6</v>
      </c>
      <c r="H10" s="67">
        <v>1</v>
      </c>
      <c r="I10" s="68">
        <f t="shared" si="1"/>
        <v>1.0101010101010102E-2</v>
      </c>
      <c r="J10" s="71"/>
      <c r="L10" s="66">
        <v>6</v>
      </c>
      <c r="M10" s="67">
        <v>1</v>
      </c>
      <c r="N10" s="68">
        <f t="shared" si="2"/>
        <v>2.8571428571428571E-2</v>
      </c>
      <c r="O10" s="67"/>
      <c r="Q10" s="66">
        <v>6</v>
      </c>
      <c r="R10" s="67">
        <v>1</v>
      </c>
      <c r="S10" s="68">
        <f t="shared" si="3"/>
        <v>6.6666666666666666E-2</v>
      </c>
      <c r="T10" s="67"/>
      <c r="V10" s="66">
        <v>6</v>
      </c>
      <c r="W10" s="67">
        <v>1</v>
      </c>
      <c r="X10" s="68">
        <f t="shared" si="4"/>
        <v>0.14285714285714285</v>
      </c>
      <c r="Y10" s="67"/>
      <c r="AA10" s="66">
        <v>2</v>
      </c>
      <c r="AB10" s="72">
        <v>0.05</v>
      </c>
      <c r="AC10" s="72">
        <v>0.1</v>
      </c>
      <c r="AD10" s="73" t="e" cm="1">
        <f t="array" aca="1" ref="AD10" ca="1">_xll.RiskUniform(AB10,AC10)</f>
        <v>#NAME?</v>
      </c>
      <c r="AF10" s="66">
        <v>6</v>
      </c>
      <c r="AG10" s="67">
        <v>1</v>
      </c>
      <c r="AH10" s="68">
        <f t="shared" si="6"/>
        <v>0.1</v>
      </c>
      <c r="AI10" s="67"/>
      <c r="AK10" s="66">
        <v>1</v>
      </c>
      <c r="AL10" s="72">
        <v>0.2</v>
      </c>
      <c r="AM10" s="72">
        <v>0.2</v>
      </c>
      <c r="AN10" s="73" t="e" cm="1">
        <f t="array" aca="1" ref="AN10" ca="1">_xll.RiskUniform(AL10,AM10)</f>
        <v>#NAME?</v>
      </c>
      <c r="AP10" s="66">
        <v>6</v>
      </c>
      <c r="AQ10" s="67">
        <v>1</v>
      </c>
      <c r="AR10" s="68">
        <f t="shared" si="8"/>
        <v>0.125</v>
      </c>
      <c r="AS10" s="67"/>
      <c r="AU10" s="66">
        <v>2</v>
      </c>
      <c r="AV10" s="74">
        <v>200</v>
      </c>
      <c r="AZ10" s="66">
        <v>2</v>
      </c>
      <c r="BA10" s="74">
        <v>200</v>
      </c>
    </row>
    <row r="11" spans="2:55" x14ac:dyDescent="0.35">
      <c r="B11" s="66">
        <v>7</v>
      </c>
      <c r="C11" s="67">
        <v>1</v>
      </c>
      <c r="D11" s="68">
        <f t="shared" si="0"/>
        <v>1.4705882352941176E-2</v>
      </c>
      <c r="E11" s="67"/>
      <c r="G11" s="66">
        <v>7</v>
      </c>
      <c r="H11" s="67">
        <v>1</v>
      </c>
      <c r="I11" s="68">
        <f t="shared" si="1"/>
        <v>1.0101010101010102E-2</v>
      </c>
      <c r="J11" s="71"/>
      <c r="L11" s="66">
        <v>7</v>
      </c>
      <c r="M11" s="67">
        <v>1</v>
      </c>
      <c r="N11" s="68">
        <f t="shared" si="2"/>
        <v>2.8571428571428571E-2</v>
      </c>
      <c r="O11" s="67"/>
      <c r="Q11" s="66">
        <v>7</v>
      </c>
      <c r="R11" s="67">
        <v>1</v>
      </c>
      <c r="S11" s="68">
        <f t="shared" si="3"/>
        <v>6.6666666666666666E-2</v>
      </c>
      <c r="T11" s="67"/>
      <c r="V11" s="66">
        <v>7</v>
      </c>
      <c r="W11" s="67">
        <v>1</v>
      </c>
      <c r="X11" s="68">
        <f t="shared" si="4"/>
        <v>0.14285714285714285</v>
      </c>
      <c r="Y11" s="67"/>
      <c r="AA11" s="66">
        <v>3</v>
      </c>
      <c r="AB11" s="72">
        <v>0.4</v>
      </c>
      <c r="AC11" s="72">
        <v>0.7</v>
      </c>
      <c r="AD11" s="73" t="e" cm="1">
        <f t="array" aca="1" ref="AD11" ca="1">_xll.RiskUniform(AB11,AC11)</f>
        <v>#NAME?</v>
      </c>
      <c r="AF11" s="66">
        <v>7</v>
      </c>
      <c r="AG11" s="67">
        <v>1</v>
      </c>
      <c r="AH11" s="68">
        <f t="shared" si="6"/>
        <v>0.1</v>
      </c>
      <c r="AI11" s="67"/>
      <c r="AK11" s="66">
        <v>2</v>
      </c>
      <c r="AL11" s="72">
        <v>0.2</v>
      </c>
      <c r="AM11" s="72">
        <v>0.2</v>
      </c>
      <c r="AN11" s="73" t="e" cm="1">
        <f t="array" aca="1" ref="AN11" ca="1">_xll.RiskUniform(AL11,AM11)</f>
        <v>#NAME?</v>
      </c>
      <c r="AP11" s="66">
        <v>7</v>
      </c>
      <c r="AQ11" s="67">
        <v>1</v>
      </c>
      <c r="AR11" s="68">
        <f t="shared" si="8"/>
        <v>0.125</v>
      </c>
      <c r="AS11" s="67"/>
      <c r="AU11" s="66">
        <v>3</v>
      </c>
      <c r="AV11" s="74">
        <v>167</v>
      </c>
      <c r="AZ11" s="66">
        <v>3</v>
      </c>
      <c r="BA11" s="74">
        <v>167</v>
      </c>
    </row>
    <row r="12" spans="2:55" ht="29" x14ac:dyDescent="0.35">
      <c r="B12" s="66">
        <v>8</v>
      </c>
      <c r="C12" s="67">
        <v>1</v>
      </c>
      <c r="D12" s="68">
        <f t="shared" si="0"/>
        <v>1.4705882352941176E-2</v>
      </c>
      <c r="E12" s="67"/>
      <c r="F12" s="75"/>
      <c r="G12" s="66">
        <v>8</v>
      </c>
      <c r="H12" s="67">
        <v>1</v>
      </c>
      <c r="I12" s="68">
        <f t="shared" si="1"/>
        <v>1.0101010101010102E-2</v>
      </c>
      <c r="J12" s="71"/>
      <c r="L12" s="66">
        <v>8</v>
      </c>
      <c r="M12" s="67">
        <v>1</v>
      </c>
      <c r="N12" s="68">
        <f t="shared" si="2"/>
        <v>2.8571428571428571E-2</v>
      </c>
      <c r="O12" s="67"/>
      <c r="Q12" s="66">
        <v>8</v>
      </c>
      <c r="R12" s="67">
        <v>1</v>
      </c>
      <c r="S12" s="68">
        <f t="shared" si="3"/>
        <v>6.6666666666666666E-2</v>
      </c>
      <c r="T12" s="67"/>
      <c r="V12" s="50" t="s">
        <v>163</v>
      </c>
      <c r="W12" s="69" t="s">
        <v>164</v>
      </c>
      <c r="X12" s="70"/>
      <c r="Y12" s="27" t="s">
        <v>165</v>
      </c>
      <c r="AF12" s="66">
        <v>8</v>
      </c>
      <c r="AG12" s="67">
        <v>1</v>
      </c>
      <c r="AH12" s="68">
        <f t="shared" si="6"/>
        <v>0.1</v>
      </c>
      <c r="AI12" s="67"/>
      <c r="AK12" s="66">
        <v>3</v>
      </c>
      <c r="AL12" s="72">
        <v>0.2</v>
      </c>
      <c r="AM12" s="72">
        <v>0.2</v>
      </c>
      <c r="AN12" s="73" t="e" cm="1">
        <f t="array" aca="1" ref="AN12" ca="1">_xll.RiskUniform(AL12,AM12)</f>
        <v>#NAME?</v>
      </c>
      <c r="AP12" s="66">
        <v>8</v>
      </c>
      <c r="AQ12" s="67">
        <v>1</v>
      </c>
      <c r="AR12" s="68">
        <f t="shared" si="8"/>
        <v>0.125</v>
      </c>
      <c r="AS12" s="67"/>
    </row>
    <row r="13" spans="2:55" ht="29" x14ac:dyDescent="0.35">
      <c r="B13" s="66">
        <v>9</v>
      </c>
      <c r="C13" s="67">
        <v>1</v>
      </c>
      <c r="D13" s="68">
        <f t="shared" si="0"/>
        <v>1.4705882352941176E-2</v>
      </c>
      <c r="E13" s="67"/>
      <c r="G13" s="66">
        <v>9</v>
      </c>
      <c r="H13" s="67">
        <v>1</v>
      </c>
      <c r="I13" s="68">
        <f t="shared" si="1"/>
        <v>1.0101010101010102E-2</v>
      </c>
      <c r="J13" s="71"/>
      <c r="L13" s="66">
        <v>9</v>
      </c>
      <c r="M13" s="67">
        <v>1</v>
      </c>
      <c r="N13" s="68">
        <f t="shared" si="2"/>
        <v>2.8571428571428571E-2</v>
      </c>
      <c r="O13" s="67"/>
      <c r="Q13" s="66">
        <v>9</v>
      </c>
      <c r="R13" s="67">
        <v>1</v>
      </c>
      <c r="S13" s="68">
        <f t="shared" si="3"/>
        <v>6.6666666666666666E-2</v>
      </c>
      <c r="T13" s="67"/>
      <c r="V13" s="66">
        <v>1</v>
      </c>
      <c r="W13" s="72">
        <v>0.35</v>
      </c>
      <c r="X13" s="72">
        <v>0.55000000000000004</v>
      </c>
      <c r="Y13" s="73" t="e" cm="1">
        <f t="array" aca="1" ref="Y13" ca="1">_xll.RiskUniform(W13,X13)</f>
        <v>#NAME?</v>
      </c>
      <c r="AF13" s="66">
        <v>9</v>
      </c>
      <c r="AG13" s="67">
        <v>1</v>
      </c>
      <c r="AH13" s="68">
        <f t="shared" si="6"/>
        <v>0.1</v>
      </c>
      <c r="AI13" s="67"/>
      <c r="AK13" s="66">
        <v>4</v>
      </c>
      <c r="AL13" s="72">
        <v>0.55000000000000004</v>
      </c>
      <c r="AM13" s="72">
        <v>1</v>
      </c>
      <c r="AN13" s="73" t="e" cm="1">
        <f t="array" aca="1" ref="AN13" ca="1">_xll.RiskUniform(AL13,AM13)</f>
        <v>#NAME?</v>
      </c>
      <c r="AP13" s="50" t="s">
        <v>163</v>
      </c>
      <c r="AQ13" s="69" t="s">
        <v>164</v>
      </c>
      <c r="AR13" s="70"/>
      <c r="AS13" s="27" t="s">
        <v>165</v>
      </c>
    </row>
    <row r="14" spans="2:55" x14ac:dyDescent="0.35">
      <c r="B14" s="66">
        <v>10</v>
      </c>
      <c r="C14" s="67">
        <v>1</v>
      </c>
      <c r="D14" s="68">
        <f t="shared" si="0"/>
        <v>1.4705882352941176E-2</v>
      </c>
      <c r="E14" s="67"/>
      <c r="G14" s="66">
        <v>10</v>
      </c>
      <c r="H14" s="67">
        <v>1</v>
      </c>
      <c r="I14" s="68">
        <f t="shared" si="1"/>
        <v>1.0101010101010102E-2</v>
      </c>
      <c r="J14" s="71"/>
      <c r="L14" s="66">
        <v>10</v>
      </c>
      <c r="M14" s="67">
        <v>1</v>
      </c>
      <c r="N14" s="68">
        <f t="shared" si="2"/>
        <v>2.8571428571428571E-2</v>
      </c>
      <c r="O14" s="67"/>
      <c r="Q14" s="66">
        <v>10</v>
      </c>
      <c r="R14" s="67">
        <v>1</v>
      </c>
      <c r="S14" s="68">
        <f t="shared" si="3"/>
        <v>6.6666666666666666E-2</v>
      </c>
      <c r="T14" s="67"/>
      <c r="V14" s="66">
        <v>2</v>
      </c>
      <c r="W14" s="72">
        <v>0.6</v>
      </c>
      <c r="X14" s="72">
        <v>0.85</v>
      </c>
      <c r="Y14" s="73" t="e" cm="1">
        <f t="array" aca="1" ref="Y14" ca="1">_xll.RiskUniform(W14,X14)</f>
        <v>#NAME?</v>
      </c>
      <c r="AF14" s="66">
        <v>10</v>
      </c>
      <c r="AG14" s="67">
        <v>1</v>
      </c>
      <c r="AH14" s="68">
        <f t="shared" si="6"/>
        <v>0.1</v>
      </c>
      <c r="AI14" s="67"/>
      <c r="AP14" s="66">
        <v>1</v>
      </c>
      <c r="AQ14" s="72">
        <v>0.01</v>
      </c>
      <c r="AR14" s="72">
        <v>0.05</v>
      </c>
      <c r="AS14" s="73" t="e" cm="1">
        <f t="array" aca="1" ref="AS14" ca="1">_xll.RiskUniform(AQ14,AR14)</f>
        <v>#NAME?</v>
      </c>
    </row>
    <row r="15" spans="2:55" ht="43.5" x14ac:dyDescent="0.35">
      <c r="B15" s="66">
        <v>11</v>
      </c>
      <c r="C15" s="67">
        <v>1</v>
      </c>
      <c r="D15" s="68">
        <f t="shared" si="0"/>
        <v>1.4705882352941176E-2</v>
      </c>
      <c r="E15" s="67"/>
      <c r="G15" s="66">
        <v>11</v>
      </c>
      <c r="H15" s="67">
        <v>1</v>
      </c>
      <c r="I15" s="68">
        <f t="shared" si="1"/>
        <v>1.0101010101010102E-2</v>
      </c>
      <c r="J15" s="71"/>
      <c r="L15" s="66">
        <v>11</v>
      </c>
      <c r="M15" s="67">
        <v>1</v>
      </c>
      <c r="N15" s="68">
        <f t="shared" si="2"/>
        <v>2.8571428571428571E-2</v>
      </c>
      <c r="O15" s="67"/>
      <c r="Q15" s="66">
        <v>11</v>
      </c>
      <c r="R15" s="67">
        <v>1</v>
      </c>
      <c r="S15" s="68">
        <f t="shared" si="3"/>
        <v>6.6666666666666666E-2</v>
      </c>
      <c r="T15" s="67"/>
      <c r="V15" s="66">
        <v>3</v>
      </c>
      <c r="W15" s="72">
        <v>0.01</v>
      </c>
      <c r="X15" s="72">
        <v>0.6</v>
      </c>
      <c r="Y15" s="73" t="e" cm="1">
        <f t="array" aca="1" ref="Y15" ca="1">_xll.RiskUniform(W15,X15)</f>
        <v>#NAME?</v>
      </c>
      <c r="AF15" s="50" t="s">
        <v>163</v>
      </c>
      <c r="AG15" s="69" t="s">
        <v>164</v>
      </c>
      <c r="AH15" s="70"/>
      <c r="AI15" s="27" t="s">
        <v>165</v>
      </c>
      <c r="AP15" s="66">
        <v>2</v>
      </c>
      <c r="AQ15" s="72">
        <v>0.01</v>
      </c>
      <c r="AR15" s="72">
        <v>0.05</v>
      </c>
      <c r="AS15" s="73" t="e" cm="1">
        <f t="array" aca="1" ref="AS15" ca="1">_xll.RiskUniform(AQ15,AR15)</f>
        <v>#NAME?</v>
      </c>
    </row>
    <row r="16" spans="2:55" x14ac:dyDescent="0.35">
      <c r="B16" s="66">
        <v>12</v>
      </c>
      <c r="C16" s="67">
        <v>1</v>
      </c>
      <c r="D16" s="68">
        <f t="shared" si="0"/>
        <v>1.4705882352941176E-2</v>
      </c>
      <c r="E16" s="67"/>
      <c r="G16" s="66">
        <v>12</v>
      </c>
      <c r="H16" s="67">
        <v>1</v>
      </c>
      <c r="I16" s="68">
        <f t="shared" si="1"/>
        <v>1.0101010101010102E-2</v>
      </c>
      <c r="J16" s="71"/>
      <c r="L16" s="66">
        <v>12</v>
      </c>
      <c r="M16" s="67">
        <v>1</v>
      </c>
      <c r="N16" s="68">
        <f t="shared" si="2"/>
        <v>2.8571428571428571E-2</v>
      </c>
      <c r="O16" s="67"/>
      <c r="Q16" s="66">
        <v>12</v>
      </c>
      <c r="R16" s="67">
        <v>1</v>
      </c>
      <c r="S16" s="68">
        <f t="shared" si="3"/>
        <v>6.6666666666666666E-2</v>
      </c>
      <c r="T16" s="67"/>
      <c r="V16" s="66">
        <v>4</v>
      </c>
      <c r="W16" s="72">
        <v>0.01</v>
      </c>
      <c r="X16" s="72">
        <v>0.6</v>
      </c>
      <c r="Y16" s="73" t="e" cm="1">
        <f t="array" aca="1" ref="Y16" ca="1">_xll.RiskUniform(W16,X16)</f>
        <v>#NAME?</v>
      </c>
      <c r="AF16" s="66">
        <v>1</v>
      </c>
      <c r="AG16" s="72">
        <v>0.6</v>
      </c>
      <c r="AH16" s="72">
        <v>0.9</v>
      </c>
      <c r="AI16" s="73" t="e" cm="1">
        <f t="array" aca="1" ref="AI16" ca="1">_xll.RiskUniform(AG16,AH16)</f>
        <v>#NAME?</v>
      </c>
      <c r="AP16" s="66">
        <v>3</v>
      </c>
      <c r="AQ16" s="72">
        <v>0.01</v>
      </c>
      <c r="AR16" s="72">
        <v>0.05</v>
      </c>
      <c r="AS16" s="73" t="e" cm="1">
        <f t="array" aca="1" ref="AS16" ca="1">_xll.RiskUniform(AQ16,AR16)</f>
        <v>#NAME?</v>
      </c>
    </row>
    <row r="17" spans="2:45" x14ac:dyDescent="0.35">
      <c r="B17" s="66">
        <v>13</v>
      </c>
      <c r="C17" s="67">
        <v>1</v>
      </c>
      <c r="D17" s="68">
        <f t="shared" si="0"/>
        <v>1.4705882352941176E-2</v>
      </c>
      <c r="E17" s="67"/>
      <c r="G17" s="66">
        <v>13</v>
      </c>
      <c r="H17" s="67">
        <v>1</v>
      </c>
      <c r="I17" s="68">
        <f t="shared" si="1"/>
        <v>1.0101010101010102E-2</v>
      </c>
      <c r="J17" s="71"/>
      <c r="L17" s="66">
        <v>13</v>
      </c>
      <c r="M17" s="67">
        <v>1</v>
      </c>
      <c r="N17" s="68">
        <f t="shared" si="2"/>
        <v>2.8571428571428571E-2</v>
      </c>
      <c r="O17" s="67"/>
      <c r="Q17" s="66">
        <v>13</v>
      </c>
      <c r="R17" s="67">
        <v>1</v>
      </c>
      <c r="S17" s="68">
        <f t="shared" si="3"/>
        <v>6.6666666666666666E-2</v>
      </c>
      <c r="T17" s="67"/>
      <c r="V17" s="66">
        <v>5</v>
      </c>
      <c r="W17" s="72">
        <v>0.35</v>
      </c>
      <c r="X17" s="72">
        <v>0.45</v>
      </c>
      <c r="Y17" s="73" t="e" cm="1">
        <f t="array" aca="1" ref="Y17" ca="1">_xll.RiskUniform(W17,X17)</f>
        <v>#NAME?</v>
      </c>
      <c r="AF17" s="66">
        <v>2</v>
      </c>
      <c r="AG17" s="72">
        <v>0.4</v>
      </c>
      <c r="AH17" s="72">
        <v>0.7</v>
      </c>
      <c r="AI17" s="73" t="e" cm="1">
        <f t="array" aca="1" ref="AI17" ca="1">_xll.RiskUniform(AG17,AH17)</f>
        <v>#NAME?</v>
      </c>
      <c r="AP17" s="66">
        <v>4</v>
      </c>
      <c r="AQ17" s="72">
        <v>0.01</v>
      </c>
      <c r="AR17" s="72">
        <v>0.05</v>
      </c>
      <c r="AS17" s="73" t="e" cm="1">
        <f t="array" aca="1" ref="AS17" ca="1">_xll.RiskUniform(AQ17,AR17)</f>
        <v>#NAME?</v>
      </c>
    </row>
    <row r="18" spans="2:45" x14ac:dyDescent="0.35">
      <c r="B18" s="66">
        <v>14</v>
      </c>
      <c r="C18" s="67">
        <v>1</v>
      </c>
      <c r="D18" s="68">
        <f t="shared" si="0"/>
        <v>1.4705882352941176E-2</v>
      </c>
      <c r="E18" s="67"/>
      <c r="G18" s="66">
        <v>14</v>
      </c>
      <c r="H18" s="67">
        <v>1</v>
      </c>
      <c r="I18" s="68">
        <f t="shared" si="1"/>
        <v>1.0101010101010102E-2</v>
      </c>
      <c r="J18" s="71"/>
      <c r="L18" s="66">
        <v>14</v>
      </c>
      <c r="M18" s="67">
        <v>1</v>
      </c>
      <c r="N18" s="68">
        <f t="shared" si="2"/>
        <v>2.8571428571428571E-2</v>
      </c>
      <c r="O18" s="67"/>
      <c r="Q18" s="66">
        <v>14</v>
      </c>
      <c r="R18" s="67">
        <v>1</v>
      </c>
      <c r="S18" s="68">
        <f t="shared" si="3"/>
        <v>6.6666666666666666E-2</v>
      </c>
      <c r="T18" s="67"/>
      <c r="V18" s="66">
        <v>6</v>
      </c>
      <c r="W18" s="72">
        <v>0.35</v>
      </c>
      <c r="X18" s="72">
        <v>0.45</v>
      </c>
      <c r="Y18" s="73" t="e" cm="1">
        <f t="array" aca="1" ref="Y18" ca="1">_xll.RiskUniform(W18,X18)</f>
        <v>#NAME?</v>
      </c>
      <c r="AF18" s="66">
        <v>3</v>
      </c>
      <c r="AG18" s="72">
        <v>0.65</v>
      </c>
      <c r="AH18" s="72">
        <v>0.85</v>
      </c>
      <c r="AI18" s="73" t="e" cm="1">
        <f t="array" aca="1" ref="AI18" ca="1">_xll.RiskUniform(AG18,AH18)</f>
        <v>#NAME?</v>
      </c>
      <c r="AP18" s="66">
        <v>5</v>
      </c>
      <c r="AQ18" s="76">
        <v>2.75E-2</v>
      </c>
      <c r="AR18" s="76">
        <v>3.2500000000000001E-2</v>
      </c>
      <c r="AS18" s="73" t="e" cm="1">
        <f t="array" aca="1" ref="AS18" ca="1">_xll.RiskUniform(AQ18,AR18)</f>
        <v>#NAME?</v>
      </c>
    </row>
    <row r="19" spans="2:45" x14ac:dyDescent="0.35">
      <c r="B19" s="66">
        <v>15</v>
      </c>
      <c r="C19" s="67">
        <v>1</v>
      </c>
      <c r="D19" s="68">
        <f t="shared" si="0"/>
        <v>1.4705882352941176E-2</v>
      </c>
      <c r="E19" s="67"/>
      <c r="G19" s="66">
        <v>15</v>
      </c>
      <c r="H19" s="67">
        <v>1</v>
      </c>
      <c r="I19" s="68">
        <f t="shared" si="1"/>
        <v>1.0101010101010102E-2</v>
      </c>
      <c r="J19" s="71"/>
      <c r="L19" s="66">
        <v>15</v>
      </c>
      <c r="M19" s="67">
        <v>1</v>
      </c>
      <c r="N19" s="68">
        <f t="shared" si="2"/>
        <v>2.8571428571428571E-2</v>
      </c>
      <c r="O19" s="67"/>
      <c r="Q19" s="66">
        <v>15</v>
      </c>
      <c r="R19" s="67">
        <v>1</v>
      </c>
      <c r="S19" s="68">
        <f t="shared" si="3"/>
        <v>6.6666666666666666E-2</v>
      </c>
      <c r="T19" s="67"/>
      <c r="V19" s="66">
        <v>7</v>
      </c>
      <c r="W19" s="72">
        <v>0.65</v>
      </c>
      <c r="X19" s="72">
        <v>0.7</v>
      </c>
      <c r="Y19" s="73" t="e" cm="1">
        <f t="array" aca="1" ref="Y19" ca="1">_xll.RiskUniform(W19,X19)</f>
        <v>#NAME?</v>
      </c>
      <c r="AF19" s="66">
        <v>4</v>
      </c>
      <c r="AG19" s="72">
        <v>0.3</v>
      </c>
      <c r="AH19" s="72">
        <v>0.6</v>
      </c>
      <c r="AI19" s="73" t="e" cm="1">
        <f t="array" aca="1" ref="AI19" ca="1">_xll.RiskUniform(AG19,AH19)</f>
        <v>#NAME?</v>
      </c>
      <c r="AP19" s="66">
        <v>6</v>
      </c>
      <c r="AQ19" s="76">
        <v>2.75E-2</v>
      </c>
      <c r="AR19" s="76">
        <v>3.2500000000000001E-2</v>
      </c>
      <c r="AS19" s="73" t="e" cm="1">
        <f t="array" aca="1" ref="AS19" ca="1">_xll.RiskUniform(AQ19,AR19)</f>
        <v>#NAME?</v>
      </c>
    </row>
    <row r="20" spans="2:45" ht="29" x14ac:dyDescent="0.35">
      <c r="B20" s="66">
        <v>16</v>
      </c>
      <c r="C20" s="67">
        <v>1</v>
      </c>
      <c r="D20" s="68">
        <f t="shared" si="0"/>
        <v>1.4705882352941176E-2</v>
      </c>
      <c r="E20" s="67"/>
      <c r="G20" s="66">
        <v>16</v>
      </c>
      <c r="H20" s="67">
        <v>1</v>
      </c>
      <c r="I20" s="68">
        <f t="shared" si="1"/>
        <v>1.0101010101010102E-2</v>
      </c>
      <c r="J20" s="71"/>
      <c r="L20" s="66">
        <v>16</v>
      </c>
      <c r="M20" s="67">
        <v>1</v>
      </c>
      <c r="N20" s="68">
        <f t="shared" si="2"/>
        <v>2.8571428571428571E-2</v>
      </c>
      <c r="O20" s="67"/>
      <c r="Q20" s="50" t="s">
        <v>163</v>
      </c>
      <c r="R20" s="69" t="s">
        <v>164</v>
      </c>
      <c r="S20" s="70"/>
      <c r="T20" s="27" t="s">
        <v>165</v>
      </c>
      <c r="AF20" s="66">
        <v>5</v>
      </c>
      <c r="AG20" s="72">
        <v>0.5</v>
      </c>
      <c r="AH20" s="72">
        <v>0.6</v>
      </c>
      <c r="AI20" s="73" t="e" cm="1">
        <f t="array" aca="1" ref="AI20" ca="1">_xll.RiskUniform(AG20,AH20)</f>
        <v>#NAME?</v>
      </c>
      <c r="AP20" s="66">
        <v>7</v>
      </c>
      <c r="AQ20" s="76">
        <v>2.75E-2</v>
      </c>
      <c r="AR20" s="76">
        <v>3.2500000000000001E-2</v>
      </c>
      <c r="AS20" s="73" t="e" cm="1">
        <f t="array" aca="1" ref="AS20" ca="1">_xll.RiskUniform(AQ20,AR20)</f>
        <v>#NAME?</v>
      </c>
    </row>
    <row r="21" spans="2:45" x14ac:dyDescent="0.35">
      <c r="B21" s="66">
        <v>17</v>
      </c>
      <c r="C21" s="67">
        <v>1</v>
      </c>
      <c r="D21" s="68">
        <f t="shared" si="0"/>
        <v>1.4705882352941176E-2</v>
      </c>
      <c r="E21" s="67"/>
      <c r="G21" s="66">
        <v>17</v>
      </c>
      <c r="H21" s="67">
        <v>1</v>
      </c>
      <c r="I21" s="68">
        <f t="shared" si="1"/>
        <v>1.0101010101010102E-2</v>
      </c>
      <c r="J21" s="71"/>
      <c r="L21" s="66">
        <v>17</v>
      </c>
      <c r="M21" s="67">
        <v>1</v>
      </c>
      <c r="N21" s="68">
        <f t="shared" si="2"/>
        <v>2.8571428571428571E-2</v>
      </c>
      <c r="O21" s="67"/>
      <c r="Q21" s="66">
        <v>1</v>
      </c>
      <c r="R21" s="72">
        <v>0.1</v>
      </c>
      <c r="S21" s="72">
        <v>0.3</v>
      </c>
      <c r="T21" s="73" t="e" cm="1">
        <f t="array" aca="1" ref="T21" ca="1">_xll.RiskUniform(R21,S21)</f>
        <v>#NAME?</v>
      </c>
      <c r="AF21" s="66">
        <v>6</v>
      </c>
      <c r="AG21" s="72">
        <v>0.5</v>
      </c>
      <c r="AH21" s="72">
        <v>0.6</v>
      </c>
      <c r="AI21" s="73" t="e" cm="1">
        <f t="array" aca="1" ref="AI21" ca="1">_xll.RiskUniform(AG21,AH21)</f>
        <v>#NAME?</v>
      </c>
      <c r="AP21" s="66">
        <v>8</v>
      </c>
      <c r="AQ21" s="72">
        <v>0.01</v>
      </c>
      <c r="AR21" s="72">
        <v>0.03</v>
      </c>
      <c r="AS21" s="73" t="e" cm="1">
        <f t="array" aca="1" ref="AS21" ca="1">_xll.RiskUniform(AQ21,AR21)</f>
        <v>#NAME?</v>
      </c>
    </row>
    <row r="22" spans="2:45" x14ac:dyDescent="0.35">
      <c r="B22" s="66">
        <v>18</v>
      </c>
      <c r="C22" s="67">
        <v>1</v>
      </c>
      <c r="D22" s="68">
        <f t="shared" si="0"/>
        <v>1.4705882352941176E-2</v>
      </c>
      <c r="E22" s="67"/>
      <c r="G22" s="66">
        <v>18</v>
      </c>
      <c r="H22" s="67">
        <v>1</v>
      </c>
      <c r="I22" s="68">
        <f t="shared" si="1"/>
        <v>1.0101010101010102E-2</v>
      </c>
      <c r="J22" s="71"/>
      <c r="L22" s="66">
        <v>18</v>
      </c>
      <c r="M22" s="67">
        <v>1</v>
      </c>
      <c r="N22" s="68">
        <f t="shared" si="2"/>
        <v>2.8571428571428571E-2</v>
      </c>
      <c r="O22" s="67"/>
      <c r="Q22" s="66">
        <v>2</v>
      </c>
      <c r="R22" s="72">
        <v>0.5</v>
      </c>
      <c r="S22" s="72">
        <v>0.8</v>
      </c>
      <c r="T22" s="73" t="e" cm="1">
        <f t="array" aca="1" ref="T22" ca="1">_xll.RiskUniform(R22,S22)</f>
        <v>#NAME?</v>
      </c>
      <c r="AF22" s="66">
        <v>7</v>
      </c>
      <c r="AG22" s="72">
        <v>0.5</v>
      </c>
      <c r="AH22" s="72">
        <v>0.6</v>
      </c>
      <c r="AI22" s="73" t="e" cm="1">
        <f t="array" aca="1" ref="AI22" ca="1">_xll.RiskUniform(AG22,AH22)</f>
        <v>#NAME?</v>
      </c>
    </row>
    <row r="23" spans="2:45" x14ac:dyDescent="0.35">
      <c r="B23" s="66">
        <v>19</v>
      </c>
      <c r="C23" s="67">
        <v>1</v>
      </c>
      <c r="D23" s="68">
        <f t="shared" si="0"/>
        <v>1.4705882352941176E-2</v>
      </c>
      <c r="E23" s="67"/>
      <c r="G23" s="66">
        <v>19</v>
      </c>
      <c r="H23" s="67">
        <v>1</v>
      </c>
      <c r="I23" s="68">
        <f t="shared" si="1"/>
        <v>1.0101010101010102E-2</v>
      </c>
      <c r="J23" s="71"/>
      <c r="L23" s="66">
        <v>19</v>
      </c>
      <c r="M23" s="67">
        <v>1</v>
      </c>
      <c r="N23" s="68">
        <f t="shared" si="2"/>
        <v>2.8571428571428571E-2</v>
      </c>
      <c r="O23" s="67"/>
      <c r="Q23" s="66">
        <v>3</v>
      </c>
      <c r="R23" s="72">
        <v>0.01</v>
      </c>
      <c r="S23" s="72">
        <v>0.4</v>
      </c>
      <c r="T23" s="73" t="e" cm="1">
        <f t="array" aca="1" ref="T23" ca="1">_xll.RiskUniform(R23,S23)</f>
        <v>#NAME?</v>
      </c>
      <c r="AF23" s="66">
        <v>8</v>
      </c>
      <c r="AG23" s="72">
        <v>0.253</v>
      </c>
      <c r="AH23" s="72">
        <v>0.253</v>
      </c>
      <c r="AI23" s="73" t="e" cm="1">
        <f t="array" aca="1" ref="AI23" ca="1">_xll.RiskUniform(AG23,AH23)</f>
        <v>#NAME?</v>
      </c>
    </row>
    <row r="24" spans="2:45" x14ac:dyDescent="0.35">
      <c r="B24" s="66">
        <v>20</v>
      </c>
      <c r="C24" s="67">
        <v>1</v>
      </c>
      <c r="D24" s="68">
        <f t="shared" si="0"/>
        <v>1.4705882352941176E-2</v>
      </c>
      <c r="E24" s="67"/>
      <c r="G24" s="66">
        <v>20</v>
      </c>
      <c r="H24" s="67">
        <v>1</v>
      </c>
      <c r="I24" s="68">
        <f t="shared" si="1"/>
        <v>1.0101010101010102E-2</v>
      </c>
      <c r="J24" s="71"/>
      <c r="L24" s="66">
        <v>20</v>
      </c>
      <c r="M24" s="67">
        <v>1</v>
      </c>
      <c r="N24" s="68">
        <f t="shared" si="2"/>
        <v>2.8571428571428571E-2</v>
      </c>
      <c r="O24" s="67"/>
      <c r="Q24" s="66">
        <v>4</v>
      </c>
      <c r="R24" s="72">
        <v>0.01</v>
      </c>
      <c r="S24" s="72">
        <v>0.6</v>
      </c>
      <c r="T24" s="73" t="e" cm="1">
        <f t="array" aca="1" ref="T24" ca="1">_xll.RiskUniform(R24,S24)</f>
        <v>#NAME?</v>
      </c>
      <c r="AF24" s="66">
        <v>9</v>
      </c>
      <c r="AG24" s="72">
        <v>0.45</v>
      </c>
      <c r="AH24" s="72">
        <v>0.7</v>
      </c>
      <c r="AI24" s="73" t="e" cm="1">
        <f t="array" aca="1" ref="AI24" ca="1">_xll.RiskUniform(AG24,AH24)</f>
        <v>#NAME?</v>
      </c>
    </row>
    <row r="25" spans="2:45" x14ac:dyDescent="0.35">
      <c r="B25" s="66">
        <v>21</v>
      </c>
      <c r="C25" s="67">
        <v>1</v>
      </c>
      <c r="D25" s="68">
        <f t="shared" si="0"/>
        <v>1.4705882352941176E-2</v>
      </c>
      <c r="E25" s="67"/>
      <c r="G25" s="66">
        <v>21</v>
      </c>
      <c r="H25" s="67">
        <v>1</v>
      </c>
      <c r="I25" s="68">
        <f t="shared" si="1"/>
        <v>1.0101010101010102E-2</v>
      </c>
      <c r="J25" s="71"/>
      <c r="L25" s="66">
        <v>21</v>
      </c>
      <c r="M25" s="67">
        <v>1</v>
      </c>
      <c r="N25" s="68">
        <f t="shared" si="2"/>
        <v>2.8571428571428571E-2</v>
      </c>
      <c r="O25" s="67"/>
      <c r="Q25" s="66">
        <v>5</v>
      </c>
      <c r="R25" s="72">
        <v>0.6</v>
      </c>
      <c r="S25" s="72">
        <v>1</v>
      </c>
      <c r="T25" s="73" t="e" cm="1">
        <f t="array" aca="1" ref="T25" ca="1">_xll.RiskUniform(R25,S25)</f>
        <v>#NAME?</v>
      </c>
      <c r="AF25" s="66">
        <v>10</v>
      </c>
      <c r="AG25" s="72">
        <v>0.4</v>
      </c>
      <c r="AH25" s="72">
        <v>0.6</v>
      </c>
      <c r="AI25" s="73" t="e" cm="1">
        <f t="array" aca="1" ref="AI25" ca="1">_xll.RiskUniform(AG25,AH25)</f>
        <v>#NAME?</v>
      </c>
    </row>
    <row r="26" spans="2:45" x14ac:dyDescent="0.35">
      <c r="B26" s="66">
        <v>22</v>
      </c>
      <c r="C26" s="67">
        <v>1</v>
      </c>
      <c r="D26" s="68">
        <f t="shared" si="0"/>
        <v>1.4705882352941176E-2</v>
      </c>
      <c r="E26" s="67"/>
      <c r="G26" s="66">
        <v>22</v>
      </c>
      <c r="H26" s="67">
        <v>1</v>
      </c>
      <c r="I26" s="68">
        <f t="shared" si="1"/>
        <v>1.0101010101010102E-2</v>
      </c>
      <c r="J26" s="71"/>
      <c r="L26" s="66">
        <v>22</v>
      </c>
      <c r="M26" s="67">
        <v>1</v>
      </c>
      <c r="N26" s="68">
        <f t="shared" si="2"/>
        <v>2.8571428571428571E-2</v>
      </c>
      <c r="O26" s="67"/>
      <c r="Q26" s="66">
        <v>6</v>
      </c>
      <c r="R26" s="72">
        <v>0.5</v>
      </c>
      <c r="S26" s="72">
        <v>1</v>
      </c>
      <c r="T26" s="73" t="e" cm="1">
        <f t="array" aca="1" ref="T26" ca="1">_xll.RiskUniform(R26,S26)</f>
        <v>#NAME?</v>
      </c>
    </row>
    <row r="27" spans="2:45" x14ac:dyDescent="0.35">
      <c r="B27" s="66">
        <v>23</v>
      </c>
      <c r="C27" s="67">
        <v>1</v>
      </c>
      <c r="D27" s="68">
        <f t="shared" si="0"/>
        <v>1.4705882352941176E-2</v>
      </c>
      <c r="E27" s="67"/>
      <c r="G27" s="66">
        <v>23</v>
      </c>
      <c r="H27" s="67">
        <v>1</v>
      </c>
      <c r="I27" s="68">
        <f t="shared" si="1"/>
        <v>1.0101010101010102E-2</v>
      </c>
      <c r="J27" s="71"/>
      <c r="L27" s="66">
        <v>23</v>
      </c>
      <c r="M27" s="67">
        <v>1</v>
      </c>
      <c r="N27" s="68">
        <f t="shared" si="2"/>
        <v>2.8571428571428571E-2</v>
      </c>
      <c r="O27" s="67"/>
      <c r="Q27" s="66">
        <v>7</v>
      </c>
      <c r="R27" s="72">
        <v>0.25</v>
      </c>
      <c r="S27" s="72">
        <v>0.5</v>
      </c>
      <c r="T27" s="73" t="e" cm="1">
        <f t="array" aca="1" ref="T27" ca="1">_xll.RiskUniform(R27,S27)</f>
        <v>#NAME?</v>
      </c>
    </row>
    <row r="28" spans="2:45" x14ac:dyDescent="0.35">
      <c r="B28" s="66">
        <v>24</v>
      </c>
      <c r="C28" s="67">
        <v>1</v>
      </c>
      <c r="D28" s="68">
        <f t="shared" si="0"/>
        <v>1.4705882352941176E-2</v>
      </c>
      <c r="E28" s="67"/>
      <c r="G28" s="66">
        <v>24</v>
      </c>
      <c r="H28" s="67">
        <v>1</v>
      </c>
      <c r="I28" s="68">
        <f t="shared" si="1"/>
        <v>1.0101010101010102E-2</v>
      </c>
      <c r="J28" s="71"/>
      <c r="L28" s="66">
        <v>24</v>
      </c>
      <c r="M28" s="67">
        <v>1</v>
      </c>
      <c r="N28" s="68">
        <f t="shared" si="2"/>
        <v>2.8571428571428571E-2</v>
      </c>
      <c r="O28" s="67"/>
      <c r="Q28" s="66">
        <v>8</v>
      </c>
      <c r="R28" s="72">
        <v>0.25</v>
      </c>
      <c r="S28" s="72">
        <v>0.5</v>
      </c>
      <c r="T28" s="73" t="e" cm="1">
        <f t="array" aca="1" ref="T28" ca="1">_xll.RiskUniform(R28,S28)</f>
        <v>#NAME?</v>
      </c>
    </row>
    <row r="29" spans="2:45" x14ac:dyDescent="0.35">
      <c r="B29" s="66">
        <v>25</v>
      </c>
      <c r="C29" s="67">
        <v>1</v>
      </c>
      <c r="D29" s="68">
        <f t="shared" si="0"/>
        <v>1.4705882352941176E-2</v>
      </c>
      <c r="E29" s="67"/>
      <c r="G29" s="66">
        <v>25</v>
      </c>
      <c r="H29" s="67">
        <v>1</v>
      </c>
      <c r="I29" s="68">
        <f t="shared" si="1"/>
        <v>1.0101010101010102E-2</v>
      </c>
      <c r="J29" s="71"/>
      <c r="L29" s="66">
        <v>25</v>
      </c>
      <c r="M29" s="67">
        <v>1</v>
      </c>
      <c r="N29" s="68">
        <f t="shared" si="2"/>
        <v>2.8571428571428571E-2</v>
      </c>
      <c r="O29" s="67"/>
      <c r="Q29" s="66">
        <v>9</v>
      </c>
      <c r="R29" s="72">
        <v>0.01</v>
      </c>
      <c r="S29" s="72">
        <v>0.1</v>
      </c>
      <c r="T29" s="73" t="e" cm="1">
        <f t="array" aca="1" ref="T29" ca="1">_xll.RiskUniform(R29,S29)</f>
        <v>#NAME?</v>
      </c>
    </row>
    <row r="30" spans="2:45" x14ac:dyDescent="0.35">
      <c r="B30" s="66">
        <v>26</v>
      </c>
      <c r="C30" s="67">
        <v>1</v>
      </c>
      <c r="D30" s="68">
        <f t="shared" si="0"/>
        <v>1.4705882352941176E-2</v>
      </c>
      <c r="E30" s="67"/>
      <c r="G30" s="66">
        <v>26</v>
      </c>
      <c r="H30" s="67">
        <v>1</v>
      </c>
      <c r="I30" s="68">
        <f t="shared" si="1"/>
        <v>1.0101010101010102E-2</v>
      </c>
      <c r="J30" s="71"/>
      <c r="L30" s="66">
        <v>26</v>
      </c>
      <c r="M30" s="67">
        <v>1</v>
      </c>
      <c r="N30" s="68">
        <f t="shared" si="2"/>
        <v>2.8571428571428571E-2</v>
      </c>
      <c r="O30" s="67"/>
      <c r="Q30" s="66">
        <v>10</v>
      </c>
      <c r="R30" s="72">
        <v>0.5</v>
      </c>
      <c r="S30" s="72">
        <v>0.75</v>
      </c>
      <c r="T30" s="73" t="e" cm="1">
        <f t="array" aca="1" ref="T30" ca="1">_xll.RiskUniform(R30,S30)</f>
        <v>#NAME?</v>
      </c>
    </row>
    <row r="31" spans="2:45" x14ac:dyDescent="0.35">
      <c r="B31" s="66">
        <v>27</v>
      </c>
      <c r="C31" s="67">
        <v>1</v>
      </c>
      <c r="D31" s="68">
        <f t="shared" si="0"/>
        <v>1.4705882352941176E-2</v>
      </c>
      <c r="E31" s="67"/>
      <c r="G31" s="66">
        <v>27</v>
      </c>
      <c r="H31" s="67">
        <v>1</v>
      </c>
      <c r="I31" s="68">
        <f t="shared" si="1"/>
        <v>1.0101010101010102E-2</v>
      </c>
      <c r="J31" s="71"/>
      <c r="L31" s="66">
        <v>27</v>
      </c>
      <c r="M31" s="67">
        <v>1</v>
      </c>
      <c r="N31" s="68">
        <f t="shared" si="2"/>
        <v>2.8571428571428571E-2</v>
      </c>
      <c r="O31" s="67"/>
      <c r="Q31" s="66">
        <v>11</v>
      </c>
      <c r="R31" s="72">
        <v>0.01</v>
      </c>
      <c r="S31" s="72">
        <v>0.45</v>
      </c>
      <c r="T31" s="73" t="e" cm="1">
        <f t="array" aca="1" ref="T31" ca="1">_xll.RiskUniform(R31,S31)</f>
        <v>#NAME?</v>
      </c>
    </row>
    <row r="32" spans="2:45" x14ac:dyDescent="0.35">
      <c r="B32" s="66">
        <v>28</v>
      </c>
      <c r="C32" s="67">
        <v>1</v>
      </c>
      <c r="D32" s="68">
        <f t="shared" si="0"/>
        <v>1.4705882352941176E-2</v>
      </c>
      <c r="E32" s="67"/>
      <c r="G32" s="66">
        <v>28</v>
      </c>
      <c r="H32" s="67">
        <v>1</v>
      </c>
      <c r="I32" s="68">
        <f t="shared" si="1"/>
        <v>1.0101010101010102E-2</v>
      </c>
      <c r="J32" s="71"/>
      <c r="L32" s="66">
        <v>28</v>
      </c>
      <c r="M32" s="67">
        <v>1</v>
      </c>
      <c r="N32" s="68">
        <f t="shared" si="2"/>
        <v>2.8571428571428571E-2</v>
      </c>
      <c r="O32" s="67"/>
      <c r="Q32" s="66">
        <v>12</v>
      </c>
      <c r="R32" s="72">
        <v>0.25</v>
      </c>
      <c r="S32" s="72">
        <v>0.5</v>
      </c>
      <c r="T32" s="73" t="e" cm="1">
        <f t="array" aca="1" ref="T32" ca="1">_xll.RiskUniform(R32,S32)</f>
        <v>#NAME?</v>
      </c>
    </row>
    <row r="33" spans="2:20" x14ac:dyDescent="0.35">
      <c r="B33" s="66">
        <v>29</v>
      </c>
      <c r="C33" s="67">
        <v>1</v>
      </c>
      <c r="D33" s="68">
        <f t="shared" si="0"/>
        <v>1.4705882352941176E-2</v>
      </c>
      <c r="E33" s="67"/>
      <c r="G33" s="66">
        <v>29</v>
      </c>
      <c r="H33" s="67">
        <v>1</v>
      </c>
      <c r="I33" s="68">
        <f t="shared" si="1"/>
        <v>1.0101010101010102E-2</v>
      </c>
      <c r="J33" s="71"/>
      <c r="L33" s="66">
        <v>29</v>
      </c>
      <c r="M33" s="67">
        <v>1</v>
      </c>
      <c r="N33" s="68">
        <f t="shared" si="2"/>
        <v>2.8571428571428571E-2</v>
      </c>
      <c r="O33" s="67"/>
      <c r="Q33" s="66">
        <v>13</v>
      </c>
      <c r="R33" s="72">
        <v>0.25</v>
      </c>
      <c r="S33" s="72">
        <v>0.5</v>
      </c>
      <c r="T33" s="73" t="e" cm="1">
        <f t="array" aca="1" ref="T33" ca="1">_xll.RiskUniform(R33,S33)</f>
        <v>#NAME?</v>
      </c>
    </row>
    <row r="34" spans="2:20" x14ac:dyDescent="0.35">
      <c r="B34" s="66">
        <v>30</v>
      </c>
      <c r="C34" s="67">
        <v>1</v>
      </c>
      <c r="D34" s="68">
        <f t="shared" si="0"/>
        <v>1.4705882352941176E-2</v>
      </c>
      <c r="E34" s="67"/>
      <c r="G34" s="66">
        <v>30</v>
      </c>
      <c r="H34" s="67">
        <v>1</v>
      </c>
      <c r="I34" s="68">
        <f t="shared" si="1"/>
        <v>1.0101010101010102E-2</v>
      </c>
      <c r="J34" s="71"/>
      <c r="L34" s="66">
        <v>30</v>
      </c>
      <c r="M34" s="67">
        <v>1</v>
      </c>
      <c r="N34" s="68">
        <f t="shared" si="2"/>
        <v>2.8571428571428571E-2</v>
      </c>
      <c r="O34" s="67"/>
      <c r="Q34" s="66">
        <v>14</v>
      </c>
      <c r="R34" s="72">
        <v>0.5</v>
      </c>
      <c r="S34" s="72">
        <v>1</v>
      </c>
      <c r="T34" s="73" t="e" cm="1">
        <f t="array" aca="1" ref="T34" ca="1">_xll.RiskUniform(R34,S34)</f>
        <v>#NAME?</v>
      </c>
    </row>
    <row r="35" spans="2:20" x14ac:dyDescent="0.35">
      <c r="B35" s="66">
        <v>31</v>
      </c>
      <c r="C35" s="67">
        <v>1</v>
      </c>
      <c r="D35" s="68">
        <f t="shared" si="0"/>
        <v>1.4705882352941176E-2</v>
      </c>
      <c r="E35" s="67"/>
      <c r="G35" s="66">
        <v>31</v>
      </c>
      <c r="H35" s="67">
        <v>1</v>
      </c>
      <c r="I35" s="68">
        <f t="shared" si="1"/>
        <v>1.0101010101010102E-2</v>
      </c>
      <c r="J35" s="71"/>
      <c r="L35" s="66">
        <v>31</v>
      </c>
      <c r="M35" s="67">
        <v>1</v>
      </c>
      <c r="N35" s="68">
        <f t="shared" si="2"/>
        <v>2.8571428571428571E-2</v>
      </c>
      <c r="O35" s="67"/>
      <c r="Q35" s="66">
        <v>15</v>
      </c>
      <c r="R35" s="72">
        <v>0.35</v>
      </c>
      <c r="S35" s="72">
        <v>0.41</v>
      </c>
      <c r="T35" s="73" t="e" cm="1">
        <f t="array" aca="1" ref="T35" ca="1">_xll.RiskUniform(R35,S35)</f>
        <v>#NAME?</v>
      </c>
    </row>
    <row r="36" spans="2:20" x14ac:dyDescent="0.35">
      <c r="B36" s="66">
        <v>32</v>
      </c>
      <c r="C36" s="67">
        <v>1</v>
      </c>
      <c r="D36" s="68">
        <f t="shared" si="0"/>
        <v>1.4705882352941176E-2</v>
      </c>
      <c r="E36" s="67"/>
      <c r="G36" s="66">
        <v>32</v>
      </c>
      <c r="H36" s="67">
        <v>1</v>
      </c>
      <c r="I36" s="68">
        <f t="shared" si="1"/>
        <v>1.0101010101010102E-2</v>
      </c>
      <c r="J36" s="71"/>
      <c r="L36" s="66">
        <v>32</v>
      </c>
      <c r="M36" s="67">
        <v>1</v>
      </c>
      <c r="N36" s="68">
        <f t="shared" si="2"/>
        <v>2.8571428571428571E-2</v>
      </c>
      <c r="O36" s="67"/>
    </row>
    <row r="37" spans="2:20" x14ac:dyDescent="0.35">
      <c r="B37" s="66">
        <v>33</v>
      </c>
      <c r="C37" s="67">
        <v>1</v>
      </c>
      <c r="D37" s="68">
        <f t="shared" si="0"/>
        <v>1.4705882352941176E-2</v>
      </c>
      <c r="E37" s="67"/>
      <c r="G37" s="66">
        <v>33</v>
      </c>
      <c r="H37" s="67">
        <v>1</v>
      </c>
      <c r="I37" s="68">
        <f t="shared" si="1"/>
        <v>1.0101010101010102E-2</v>
      </c>
      <c r="J37" s="71"/>
      <c r="L37" s="66">
        <v>33</v>
      </c>
      <c r="M37" s="67">
        <v>1</v>
      </c>
      <c r="N37" s="68">
        <f t="shared" si="2"/>
        <v>2.8571428571428571E-2</v>
      </c>
      <c r="O37" s="67"/>
    </row>
    <row r="38" spans="2:20" x14ac:dyDescent="0.35">
      <c r="B38" s="66">
        <v>34</v>
      </c>
      <c r="C38" s="67">
        <v>1</v>
      </c>
      <c r="D38" s="68">
        <f t="shared" si="0"/>
        <v>1.4705882352941176E-2</v>
      </c>
      <c r="E38" s="67"/>
      <c r="G38" s="66">
        <v>34</v>
      </c>
      <c r="H38" s="67">
        <v>1</v>
      </c>
      <c r="I38" s="68">
        <f t="shared" si="1"/>
        <v>1.0101010101010102E-2</v>
      </c>
      <c r="J38" s="71"/>
      <c r="L38" s="66">
        <v>34</v>
      </c>
      <c r="M38" s="67">
        <v>1</v>
      </c>
      <c r="N38" s="68">
        <f t="shared" si="2"/>
        <v>2.8571428571428571E-2</v>
      </c>
      <c r="O38" s="67"/>
    </row>
    <row r="39" spans="2:20" x14ac:dyDescent="0.35">
      <c r="B39" s="66">
        <v>35</v>
      </c>
      <c r="C39" s="67">
        <v>1</v>
      </c>
      <c r="D39" s="68">
        <f t="shared" si="0"/>
        <v>1.4705882352941176E-2</v>
      </c>
      <c r="E39" s="67"/>
      <c r="G39" s="66">
        <v>35</v>
      </c>
      <c r="H39" s="67">
        <v>1</v>
      </c>
      <c r="I39" s="68">
        <f t="shared" si="1"/>
        <v>1.0101010101010102E-2</v>
      </c>
      <c r="J39" s="71"/>
      <c r="L39" s="66">
        <v>35</v>
      </c>
      <c r="M39" s="67">
        <v>1</v>
      </c>
      <c r="N39" s="68">
        <f t="shared" si="2"/>
        <v>2.8571428571428571E-2</v>
      </c>
      <c r="O39" s="67"/>
    </row>
    <row r="40" spans="2:20" ht="29" x14ac:dyDescent="0.35">
      <c r="B40" s="66">
        <v>36</v>
      </c>
      <c r="C40" s="67">
        <v>1</v>
      </c>
      <c r="D40" s="68">
        <f t="shared" si="0"/>
        <v>1.4705882352941176E-2</v>
      </c>
      <c r="E40" s="67"/>
      <c r="G40" s="66">
        <v>36</v>
      </c>
      <c r="H40" s="67">
        <v>1</v>
      </c>
      <c r="I40" s="68">
        <f t="shared" si="1"/>
        <v>1.0101010101010102E-2</v>
      </c>
      <c r="J40" s="71"/>
      <c r="L40" s="50" t="s">
        <v>163</v>
      </c>
      <c r="M40" s="69" t="s">
        <v>164</v>
      </c>
      <c r="N40" s="70"/>
      <c r="O40" s="27" t="s">
        <v>165</v>
      </c>
    </row>
    <row r="41" spans="2:20" x14ac:dyDescent="0.35">
      <c r="B41" s="66">
        <v>37</v>
      </c>
      <c r="C41" s="67">
        <v>1</v>
      </c>
      <c r="D41" s="68">
        <f t="shared" si="0"/>
        <v>1.4705882352941176E-2</v>
      </c>
      <c r="E41" s="67"/>
      <c r="G41" s="66">
        <v>37</v>
      </c>
      <c r="H41" s="67">
        <v>1</v>
      </c>
      <c r="I41" s="68">
        <f t="shared" si="1"/>
        <v>1.0101010101010102E-2</v>
      </c>
      <c r="J41" s="71"/>
      <c r="L41" s="66">
        <v>1</v>
      </c>
      <c r="M41" s="72">
        <v>0.5</v>
      </c>
      <c r="N41" s="72">
        <v>0.75</v>
      </c>
      <c r="O41" s="73" t="e" cm="1">
        <f t="array" aca="1" ref="O41" ca="1">_xll.RiskUniform(M41,N41)</f>
        <v>#NAME?</v>
      </c>
    </row>
    <row r="42" spans="2:20" x14ac:dyDescent="0.35">
      <c r="B42" s="66">
        <v>38</v>
      </c>
      <c r="C42" s="67">
        <v>1</v>
      </c>
      <c r="D42" s="68">
        <f t="shared" si="0"/>
        <v>1.4705882352941176E-2</v>
      </c>
      <c r="E42" s="67"/>
      <c r="G42" s="66">
        <v>38</v>
      </c>
      <c r="H42" s="67">
        <v>1</v>
      </c>
      <c r="I42" s="68">
        <f t="shared" si="1"/>
        <v>1.0101010101010102E-2</v>
      </c>
      <c r="J42" s="71"/>
      <c r="L42" s="66">
        <v>2</v>
      </c>
      <c r="M42" s="72">
        <v>0.1</v>
      </c>
      <c r="N42" s="72">
        <v>0.25</v>
      </c>
      <c r="O42" s="73" t="e" cm="1">
        <f t="array" aca="1" ref="O42" ca="1">_xll.RiskUniform(M42,N42)</f>
        <v>#NAME?</v>
      </c>
    </row>
    <row r="43" spans="2:20" x14ac:dyDescent="0.35">
      <c r="B43" s="66">
        <v>39</v>
      </c>
      <c r="C43" s="67">
        <v>1</v>
      </c>
      <c r="D43" s="68">
        <f t="shared" si="0"/>
        <v>1.4705882352941176E-2</v>
      </c>
      <c r="E43" s="67"/>
      <c r="G43" s="66">
        <v>39</v>
      </c>
      <c r="H43" s="67">
        <v>1</v>
      </c>
      <c r="I43" s="68">
        <f t="shared" si="1"/>
        <v>1.0101010101010102E-2</v>
      </c>
      <c r="J43" s="71"/>
      <c r="L43" s="66">
        <v>3</v>
      </c>
      <c r="M43" s="72">
        <v>0.1</v>
      </c>
      <c r="N43" s="72">
        <v>0.25</v>
      </c>
      <c r="O43" s="73" t="e" cm="1">
        <f t="array" aca="1" ref="O43" ca="1">_xll.RiskUniform(M43,N43)</f>
        <v>#NAME?</v>
      </c>
    </row>
    <row r="44" spans="2:20" x14ac:dyDescent="0.35">
      <c r="B44" s="66">
        <v>40</v>
      </c>
      <c r="C44" s="67">
        <v>1</v>
      </c>
      <c r="D44" s="68">
        <f t="shared" si="0"/>
        <v>1.4705882352941176E-2</v>
      </c>
      <c r="E44" s="67"/>
      <c r="G44" s="66">
        <v>40</v>
      </c>
      <c r="H44" s="67">
        <v>1</v>
      </c>
      <c r="I44" s="68">
        <f t="shared" si="1"/>
        <v>1.0101010101010102E-2</v>
      </c>
      <c r="J44" s="71"/>
      <c r="L44" s="66">
        <v>4</v>
      </c>
      <c r="M44" s="72">
        <v>0.5</v>
      </c>
      <c r="N44" s="72">
        <v>0.75</v>
      </c>
      <c r="O44" s="73" t="e" cm="1">
        <f t="array" aca="1" ref="O44" ca="1">_xll.RiskUniform(M44,N44)</f>
        <v>#NAME?</v>
      </c>
    </row>
    <row r="45" spans="2:20" x14ac:dyDescent="0.35">
      <c r="B45" s="66">
        <v>41</v>
      </c>
      <c r="C45" s="67">
        <v>1</v>
      </c>
      <c r="D45" s="68">
        <f t="shared" si="0"/>
        <v>1.4705882352941176E-2</v>
      </c>
      <c r="E45" s="67"/>
      <c r="G45" s="66">
        <v>41</v>
      </c>
      <c r="H45" s="67">
        <v>1</v>
      </c>
      <c r="I45" s="68">
        <f t="shared" si="1"/>
        <v>1.0101010101010102E-2</v>
      </c>
      <c r="J45" s="71"/>
      <c r="L45" s="66">
        <v>5</v>
      </c>
      <c r="M45" s="72">
        <v>0.9</v>
      </c>
      <c r="N45" s="72">
        <v>1</v>
      </c>
      <c r="O45" s="73" t="e" cm="1">
        <f t="array" aca="1" ref="O45" ca="1">_xll.RiskUniform(M45,N45)</f>
        <v>#NAME?</v>
      </c>
    </row>
    <row r="46" spans="2:20" x14ac:dyDescent="0.35">
      <c r="B46" s="66">
        <v>42</v>
      </c>
      <c r="C46" s="67">
        <v>1</v>
      </c>
      <c r="D46" s="68">
        <f t="shared" si="0"/>
        <v>1.4705882352941176E-2</v>
      </c>
      <c r="E46" s="67"/>
      <c r="G46" s="66">
        <v>42</v>
      </c>
      <c r="H46" s="67">
        <v>1</v>
      </c>
      <c r="I46" s="68">
        <f t="shared" si="1"/>
        <v>1.0101010101010102E-2</v>
      </c>
      <c r="J46" s="71"/>
      <c r="L46" s="66">
        <v>6</v>
      </c>
      <c r="M46" s="72">
        <v>0.9</v>
      </c>
      <c r="N46" s="72">
        <v>1</v>
      </c>
      <c r="O46" s="73" t="e" cm="1">
        <f t="array" aca="1" ref="O46" ca="1">_xll.RiskUniform(M46,N46)</f>
        <v>#NAME?</v>
      </c>
    </row>
    <row r="47" spans="2:20" x14ac:dyDescent="0.35">
      <c r="B47" s="66">
        <v>43</v>
      </c>
      <c r="C47" s="67">
        <v>1</v>
      </c>
      <c r="D47" s="68">
        <f t="shared" si="0"/>
        <v>1.4705882352941176E-2</v>
      </c>
      <c r="E47" s="67"/>
      <c r="G47" s="66">
        <v>43</v>
      </c>
      <c r="H47" s="67">
        <v>1</v>
      </c>
      <c r="I47" s="68">
        <f t="shared" si="1"/>
        <v>1.0101010101010102E-2</v>
      </c>
      <c r="J47" s="71"/>
      <c r="L47" s="66">
        <v>7</v>
      </c>
      <c r="M47" s="72">
        <v>0.01</v>
      </c>
      <c r="N47" s="72">
        <v>0.2</v>
      </c>
      <c r="O47" s="73" t="e" cm="1">
        <f t="array" aca="1" ref="O47" ca="1">_xll.RiskUniform(M47,N47)</f>
        <v>#NAME?</v>
      </c>
    </row>
    <row r="48" spans="2:20" x14ac:dyDescent="0.35">
      <c r="B48" s="66">
        <v>44</v>
      </c>
      <c r="C48" s="67">
        <v>1</v>
      </c>
      <c r="D48" s="68">
        <f t="shared" si="0"/>
        <v>1.4705882352941176E-2</v>
      </c>
      <c r="E48" s="67"/>
      <c r="G48" s="66">
        <v>44</v>
      </c>
      <c r="H48" s="67">
        <v>1</v>
      </c>
      <c r="I48" s="68">
        <f t="shared" si="1"/>
        <v>1.0101010101010102E-2</v>
      </c>
      <c r="J48" s="71"/>
      <c r="L48" s="66">
        <v>8</v>
      </c>
      <c r="M48" s="72">
        <v>0.65</v>
      </c>
      <c r="N48" s="72">
        <v>1</v>
      </c>
      <c r="O48" s="73" t="e" cm="1">
        <f t="array" aca="1" ref="O48" ca="1">_xll.RiskUniform(M48,N48)</f>
        <v>#NAME?</v>
      </c>
    </row>
    <row r="49" spans="2:15" x14ac:dyDescent="0.35">
      <c r="B49" s="66">
        <v>45</v>
      </c>
      <c r="C49" s="67">
        <v>1</v>
      </c>
      <c r="D49" s="68">
        <f t="shared" si="0"/>
        <v>1.4705882352941176E-2</v>
      </c>
      <c r="E49" s="67"/>
      <c r="G49" s="66">
        <v>45</v>
      </c>
      <c r="H49" s="67">
        <v>1</v>
      </c>
      <c r="I49" s="68">
        <f t="shared" si="1"/>
        <v>1.0101010101010102E-2</v>
      </c>
      <c r="J49" s="71"/>
      <c r="L49" s="66">
        <v>9</v>
      </c>
      <c r="M49" s="72">
        <v>0.45</v>
      </c>
      <c r="N49" s="72">
        <v>0.48</v>
      </c>
      <c r="O49" s="73" t="e" cm="1">
        <f t="array" aca="1" ref="O49" ca="1">_xll.RiskUniform(M49,N49)</f>
        <v>#NAME?</v>
      </c>
    </row>
    <row r="50" spans="2:15" x14ac:dyDescent="0.35">
      <c r="B50" s="66">
        <v>46</v>
      </c>
      <c r="C50" s="67">
        <v>1</v>
      </c>
      <c r="D50" s="68">
        <f t="shared" si="0"/>
        <v>1.4705882352941176E-2</v>
      </c>
      <c r="E50" s="67"/>
      <c r="G50" s="66">
        <v>46</v>
      </c>
      <c r="H50" s="67">
        <v>1</v>
      </c>
      <c r="I50" s="68">
        <f t="shared" si="1"/>
        <v>1.0101010101010102E-2</v>
      </c>
      <c r="J50" s="71"/>
      <c r="L50" s="66">
        <v>10</v>
      </c>
      <c r="M50" s="72">
        <v>0.1</v>
      </c>
      <c r="N50" s="72">
        <v>0.25</v>
      </c>
      <c r="O50" s="73" t="e" cm="1">
        <f t="array" aca="1" ref="O50" ca="1">_xll.RiskUniform(M50,N50)</f>
        <v>#NAME?</v>
      </c>
    </row>
    <row r="51" spans="2:15" x14ac:dyDescent="0.35">
      <c r="B51" s="66">
        <v>47</v>
      </c>
      <c r="C51" s="67">
        <v>1</v>
      </c>
      <c r="D51" s="68">
        <f t="shared" si="0"/>
        <v>1.4705882352941176E-2</v>
      </c>
      <c r="E51" s="67"/>
      <c r="G51" s="66">
        <v>47</v>
      </c>
      <c r="H51" s="67">
        <v>1</v>
      </c>
      <c r="I51" s="68">
        <f t="shared" si="1"/>
        <v>1.0101010101010102E-2</v>
      </c>
      <c r="J51" s="71"/>
      <c r="L51" s="66">
        <v>11</v>
      </c>
      <c r="M51" s="72">
        <v>0.5</v>
      </c>
      <c r="N51" s="72">
        <v>1</v>
      </c>
      <c r="O51" s="73" t="e" cm="1">
        <f t="array" aca="1" ref="O51" ca="1">_xll.RiskUniform(M51,N51)</f>
        <v>#NAME?</v>
      </c>
    </row>
    <row r="52" spans="2:15" x14ac:dyDescent="0.35">
      <c r="B52" s="66">
        <v>48</v>
      </c>
      <c r="C52" s="67">
        <v>1</v>
      </c>
      <c r="D52" s="68">
        <f t="shared" si="0"/>
        <v>1.4705882352941176E-2</v>
      </c>
      <c r="E52" s="67"/>
      <c r="G52" s="66">
        <v>48</v>
      </c>
      <c r="H52" s="67">
        <v>1</v>
      </c>
      <c r="I52" s="68">
        <f t="shared" si="1"/>
        <v>1.0101010101010102E-2</v>
      </c>
      <c r="J52" s="71"/>
      <c r="L52" s="66">
        <v>12</v>
      </c>
      <c r="M52" s="72">
        <v>0.5</v>
      </c>
      <c r="N52" s="72">
        <v>1</v>
      </c>
      <c r="O52" s="73" t="e" cm="1">
        <f t="array" aca="1" ref="O52" ca="1">_xll.RiskUniform(M52,N52)</f>
        <v>#NAME?</v>
      </c>
    </row>
    <row r="53" spans="2:15" x14ac:dyDescent="0.35">
      <c r="B53" s="66">
        <v>49</v>
      </c>
      <c r="C53" s="67">
        <v>1</v>
      </c>
      <c r="D53" s="68">
        <f t="shared" si="0"/>
        <v>1.4705882352941176E-2</v>
      </c>
      <c r="E53" s="67"/>
      <c r="G53" s="66">
        <v>49</v>
      </c>
      <c r="H53" s="67">
        <v>1</v>
      </c>
      <c r="I53" s="68">
        <f t="shared" si="1"/>
        <v>1.0101010101010102E-2</v>
      </c>
      <c r="J53" s="71"/>
      <c r="L53" s="66">
        <v>13</v>
      </c>
      <c r="M53" s="72">
        <v>0.5</v>
      </c>
      <c r="N53" s="72">
        <v>1</v>
      </c>
      <c r="O53" s="73" t="e" cm="1">
        <f t="array" aca="1" ref="O53" ca="1">_xll.RiskUniform(M53,N53)</f>
        <v>#NAME?</v>
      </c>
    </row>
    <row r="54" spans="2:15" x14ac:dyDescent="0.35">
      <c r="B54" s="66">
        <v>50</v>
      </c>
      <c r="C54" s="67">
        <v>1</v>
      </c>
      <c r="D54" s="68">
        <f t="shared" si="0"/>
        <v>1.4705882352941176E-2</v>
      </c>
      <c r="E54" s="67"/>
      <c r="G54" s="66">
        <v>50</v>
      </c>
      <c r="H54" s="67">
        <v>1</v>
      </c>
      <c r="I54" s="68">
        <f t="shared" si="1"/>
        <v>1.0101010101010102E-2</v>
      </c>
      <c r="J54" s="71"/>
      <c r="L54" s="66">
        <v>14</v>
      </c>
      <c r="M54" s="72">
        <v>0.5</v>
      </c>
      <c r="N54" s="72">
        <v>1</v>
      </c>
      <c r="O54" s="73" t="e" cm="1">
        <f t="array" aca="1" ref="O54" ca="1">_xll.RiskUniform(M54,N54)</f>
        <v>#NAME?</v>
      </c>
    </row>
    <row r="55" spans="2:15" x14ac:dyDescent="0.35">
      <c r="B55" s="66">
        <v>51</v>
      </c>
      <c r="C55" s="67">
        <v>1</v>
      </c>
      <c r="D55" s="68">
        <f t="shared" si="0"/>
        <v>1.4705882352941176E-2</v>
      </c>
      <c r="E55" s="67"/>
      <c r="G55" s="66">
        <v>51</v>
      </c>
      <c r="H55" s="67">
        <v>1</v>
      </c>
      <c r="I55" s="68">
        <f t="shared" si="1"/>
        <v>1.0101010101010102E-2</v>
      </c>
      <c r="J55" s="71"/>
      <c r="L55" s="66">
        <v>15</v>
      </c>
      <c r="M55" s="72">
        <v>0.5</v>
      </c>
      <c r="N55" s="72">
        <v>1</v>
      </c>
      <c r="O55" s="73" t="e" cm="1">
        <f t="array" aca="1" ref="O55" ca="1">_xll.RiskUniform(M55,N55)</f>
        <v>#NAME?</v>
      </c>
    </row>
    <row r="56" spans="2:15" x14ac:dyDescent="0.35">
      <c r="B56" s="66">
        <v>52</v>
      </c>
      <c r="C56" s="67">
        <v>1</v>
      </c>
      <c r="D56" s="68">
        <f t="shared" si="0"/>
        <v>1.4705882352941176E-2</v>
      </c>
      <c r="E56" s="67"/>
      <c r="G56" s="66">
        <v>52</v>
      </c>
      <c r="H56" s="67">
        <v>1</v>
      </c>
      <c r="I56" s="68">
        <f t="shared" si="1"/>
        <v>1.0101010101010102E-2</v>
      </c>
      <c r="J56" s="71"/>
      <c r="L56" s="66">
        <v>16</v>
      </c>
      <c r="M56" s="72">
        <v>0.68</v>
      </c>
      <c r="N56" s="72">
        <v>0.72</v>
      </c>
      <c r="O56" s="73" t="e" cm="1">
        <f t="array" aca="1" ref="O56" ca="1">_xll.RiskUniform(M56,N56)</f>
        <v>#NAME?</v>
      </c>
    </row>
    <row r="57" spans="2:15" x14ac:dyDescent="0.35">
      <c r="B57" s="66">
        <v>53</v>
      </c>
      <c r="C57" s="67">
        <v>1</v>
      </c>
      <c r="D57" s="68">
        <f t="shared" si="0"/>
        <v>1.4705882352941176E-2</v>
      </c>
      <c r="E57" s="67"/>
      <c r="G57" s="66">
        <v>53</v>
      </c>
      <c r="H57" s="67">
        <v>1</v>
      </c>
      <c r="I57" s="68">
        <f t="shared" si="1"/>
        <v>1.0101010101010102E-2</v>
      </c>
      <c r="J57" s="71"/>
      <c r="L57" s="66">
        <v>17</v>
      </c>
      <c r="M57" s="72">
        <v>0.5</v>
      </c>
      <c r="N57" s="72">
        <v>1</v>
      </c>
      <c r="O57" s="73" t="e" cm="1">
        <f t="array" aca="1" ref="O57" ca="1">_xll.RiskUniform(M57,N57)</f>
        <v>#NAME?</v>
      </c>
    </row>
    <row r="58" spans="2:15" x14ac:dyDescent="0.35">
      <c r="B58" s="66">
        <v>54</v>
      </c>
      <c r="C58" s="67">
        <v>1</v>
      </c>
      <c r="D58" s="68">
        <f t="shared" si="0"/>
        <v>1.4705882352941176E-2</v>
      </c>
      <c r="E58" s="67"/>
      <c r="G58" s="66">
        <v>54</v>
      </c>
      <c r="H58" s="67">
        <v>1</v>
      </c>
      <c r="I58" s="68">
        <f t="shared" si="1"/>
        <v>1.0101010101010102E-2</v>
      </c>
      <c r="J58" s="71"/>
      <c r="L58" s="66">
        <v>18</v>
      </c>
      <c r="M58" s="72">
        <v>0.75</v>
      </c>
      <c r="N58" s="72">
        <v>1</v>
      </c>
      <c r="O58" s="73" t="e" cm="1">
        <f t="array" aca="1" ref="O58" ca="1">_xll.RiskUniform(M58,N58)</f>
        <v>#NAME?</v>
      </c>
    </row>
    <row r="59" spans="2:15" x14ac:dyDescent="0.35">
      <c r="B59" s="66">
        <v>55</v>
      </c>
      <c r="C59" s="67">
        <v>1</v>
      </c>
      <c r="D59" s="68">
        <f t="shared" si="0"/>
        <v>1.4705882352941176E-2</v>
      </c>
      <c r="E59" s="67"/>
      <c r="G59" s="66">
        <v>55</v>
      </c>
      <c r="H59" s="67">
        <v>1</v>
      </c>
      <c r="I59" s="68">
        <f t="shared" si="1"/>
        <v>1.0101010101010102E-2</v>
      </c>
      <c r="J59" s="71"/>
      <c r="L59" s="66">
        <v>19</v>
      </c>
      <c r="M59" s="72">
        <v>0.01</v>
      </c>
      <c r="N59" s="72">
        <v>0.43</v>
      </c>
      <c r="O59" s="73" t="e" cm="1">
        <f t="array" aca="1" ref="O59" ca="1">_xll.RiskUniform(M59,N59)</f>
        <v>#NAME?</v>
      </c>
    </row>
    <row r="60" spans="2:15" x14ac:dyDescent="0.35">
      <c r="B60" s="66">
        <v>56</v>
      </c>
      <c r="C60" s="67">
        <v>1</v>
      </c>
      <c r="D60" s="68">
        <f t="shared" si="0"/>
        <v>1.4705882352941176E-2</v>
      </c>
      <c r="E60" s="67"/>
      <c r="G60" s="66">
        <v>56</v>
      </c>
      <c r="H60" s="67">
        <v>1</v>
      </c>
      <c r="I60" s="68">
        <f t="shared" si="1"/>
        <v>1.0101010101010102E-2</v>
      </c>
      <c r="J60" s="71"/>
      <c r="L60" s="66">
        <v>20</v>
      </c>
      <c r="M60" s="72">
        <v>0.45</v>
      </c>
      <c r="N60" s="72">
        <v>1</v>
      </c>
      <c r="O60" s="73" t="e" cm="1">
        <f t="array" aca="1" ref="O60" ca="1">_xll.RiskUniform(M60,N60)</f>
        <v>#NAME?</v>
      </c>
    </row>
    <row r="61" spans="2:15" x14ac:dyDescent="0.35">
      <c r="B61" s="66">
        <v>57</v>
      </c>
      <c r="C61" s="67">
        <v>1</v>
      </c>
      <c r="D61" s="68">
        <f t="shared" si="0"/>
        <v>1.4705882352941176E-2</v>
      </c>
      <c r="E61" s="67"/>
      <c r="G61" s="66">
        <v>57</v>
      </c>
      <c r="H61" s="67">
        <v>1</v>
      </c>
      <c r="I61" s="68">
        <f t="shared" si="1"/>
        <v>1.0101010101010102E-2</v>
      </c>
      <c r="J61" s="71"/>
      <c r="L61" s="66">
        <v>21</v>
      </c>
      <c r="M61" s="72">
        <v>0.6</v>
      </c>
      <c r="N61" s="72">
        <v>1</v>
      </c>
      <c r="O61" s="73" t="e" cm="1">
        <f t="array" aca="1" ref="O61" ca="1">_xll.RiskUniform(M61,N61)</f>
        <v>#NAME?</v>
      </c>
    </row>
    <row r="62" spans="2:15" x14ac:dyDescent="0.35">
      <c r="B62" s="66">
        <v>58</v>
      </c>
      <c r="C62" s="67">
        <v>1</v>
      </c>
      <c r="D62" s="68">
        <f t="shared" si="0"/>
        <v>1.4705882352941176E-2</v>
      </c>
      <c r="E62" s="67"/>
      <c r="G62" s="66">
        <v>58</v>
      </c>
      <c r="H62" s="67">
        <v>1</v>
      </c>
      <c r="I62" s="68">
        <f t="shared" si="1"/>
        <v>1.0101010101010102E-2</v>
      </c>
      <c r="J62" s="71"/>
      <c r="L62" s="66">
        <v>22</v>
      </c>
      <c r="M62" s="72">
        <v>0.4</v>
      </c>
      <c r="N62" s="72">
        <v>0.4</v>
      </c>
      <c r="O62" s="73" t="e" cm="1">
        <f t="array" aca="1" ref="O62" ca="1">_xll.RiskUniform(M62,N62)</f>
        <v>#NAME?</v>
      </c>
    </row>
    <row r="63" spans="2:15" x14ac:dyDescent="0.35">
      <c r="B63" s="66">
        <v>59</v>
      </c>
      <c r="C63" s="67">
        <v>1</v>
      </c>
      <c r="D63" s="68">
        <f t="shared" si="0"/>
        <v>1.4705882352941176E-2</v>
      </c>
      <c r="E63" s="67"/>
      <c r="G63" s="66">
        <v>59</v>
      </c>
      <c r="H63" s="67">
        <v>1</v>
      </c>
      <c r="I63" s="68">
        <f t="shared" si="1"/>
        <v>1.0101010101010102E-2</v>
      </c>
      <c r="J63" s="71"/>
      <c r="L63" s="66">
        <v>23</v>
      </c>
      <c r="M63" s="72">
        <v>0.4</v>
      </c>
      <c r="N63" s="72">
        <v>0.5</v>
      </c>
      <c r="O63" s="73" t="e" cm="1">
        <f t="array" aca="1" ref="O63" ca="1">_xll.RiskUniform(M63,N63)</f>
        <v>#NAME?</v>
      </c>
    </row>
    <row r="64" spans="2:15" x14ac:dyDescent="0.35">
      <c r="B64" s="66">
        <v>60</v>
      </c>
      <c r="C64" s="67">
        <v>1</v>
      </c>
      <c r="D64" s="68">
        <f t="shared" si="0"/>
        <v>1.4705882352941176E-2</v>
      </c>
      <c r="E64" s="67"/>
      <c r="G64" s="66">
        <v>60</v>
      </c>
      <c r="H64" s="67">
        <v>1</v>
      </c>
      <c r="I64" s="68">
        <f t="shared" si="1"/>
        <v>1.0101010101010102E-2</v>
      </c>
      <c r="J64" s="71"/>
      <c r="L64" s="66">
        <v>24</v>
      </c>
      <c r="M64" s="72">
        <v>0.01</v>
      </c>
      <c r="N64" s="72">
        <v>0.75</v>
      </c>
      <c r="O64" s="73" t="e" cm="1">
        <f t="array" aca="1" ref="O64" ca="1">_xll.RiskUniform(M64,N64)</f>
        <v>#NAME?</v>
      </c>
    </row>
    <row r="65" spans="2:15" x14ac:dyDescent="0.35">
      <c r="B65" s="66">
        <v>61</v>
      </c>
      <c r="C65" s="67">
        <v>1</v>
      </c>
      <c r="D65" s="68">
        <f t="shared" si="0"/>
        <v>1.4705882352941176E-2</v>
      </c>
      <c r="E65" s="67"/>
      <c r="G65" s="66">
        <v>61</v>
      </c>
      <c r="H65" s="67">
        <v>1</v>
      </c>
      <c r="I65" s="68">
        <f t="shared" si="1"/>
        <v>1.0101010101010102E-2</v>
      </c>
      <c r="J65" s="71"/>
      <c r="L65" s="66">
        <v>25</v>
      </c>
      <c r="M65" s="72">
        <v>0.65</v>
      </c>
      <c r="N65" s="72">
        <v>1</v>
      </c>
      <c r="O65" s="73" t="e" cm="1">
        <f t="array" aca="1" ref="O65" ca="1">_xll.RiskUniform(M65,N65)</f>
        <v>#NAME?</v>
      </c>
    </row>
    <row r="66" spans="2:15" x14ac:dyDescent="0.35">
      <c r="B66" s="66">
        <v>62</v>
      </c>
      <c r="C66" s="67">
        <v>1</v>
      </c>
      <c r="D66" s="68">
        <f t="shared" si="0"/>
        <v>1.4705882352941176E-2</v>
      </c>
      <c r="E66" s="67"/>
      <c r="G66" s="66">
        <v>62</v>
      </c>
      <c r="H66" s="67">
        <v>1</v>
      </c>
      <c r="I66" s="68">
        <f t="shared" si="1"/>
        <v>1.0101010101010102E-2</v>
      </c>
      <c r="J66" s="71"/>
      <c r="L66" s="66">
        <v>26</v>
      </c>
      <c r="M66" s="72">
        <v>0.7</v>
      </c>
      <c r="N66" s="72">
        <v>0.9</v>
      </c>
      <c r="O66" s="73" t="e" cm="1">
        <f t="array" aca="1" ref="O66" ca="1">_xll.RiskUniform(M66,N66)</f>
        <v>#NAME?</v>
      </c>
    </row>
    <row r="67" spans="2:15" x14ac:dyDescent="0.35">
      <c r="B67" s="66">
        <v>63</v>
      </c>
      <c r="C67" s="67">
        <v>1</v>
      </c>
      <c r="D67" s="68">
        <f t="shared" si="0"/>
        <v>1.4705882352941176E-2</v>
      </c>
      <c r="E67" s="67"/>
      <c r="G67" s="66">
        <v>63</v>
      </c>
      <c r="H67" s="67">
        <v>1</v>
      </c>
      <c r="I67" s="68">
        <f t="shared" si="1"/>
        <v>1.0101010101010102E-2</v>
      </c>
      <c r="J67" s="71"/>
      <c r="L67" s="66">
        <v>27</v>
      </c>
      <c r="M67" s="72">
        <v>0.75</v>
      </c>
      <c r="N67" s="72">
        <v>1</v>
      </c>
      <c r="O67" s="73" t="e" cm="1">
        <f t="array" aca="1" ref="O67" ca="1">_xll.RiskUniform(M67,N67)</f>
        <v>#NAME?</v>
      </c>
    </row>
    <row r="68" spans="2:15" x14ac:dyDescent="0.35">
      <c r="B68" s="66">
        <v>64</v>
      </c>
      <c r="C68" s="67">
        <v>1</v>
      </c>
      <c r="D68" s="68">
        <f t="shared" si="0"/>
        <v>1.4705882352941176E-2</v>
      </c>
      <c r="E68" s="67"/>
      <c r="G68" s="66">
        <v>64</v>
      </c>
      <c r="H68" s="67">
        <v>1</v>
      </c>
      <c r="I68" s="68">
        <f t="shared" si="1"/>
        <v>1.0101010101010102E-2</v>
      </c>
      <c r="J68" s="71"/>
      <c r="L68" s="66">
        <v>28</v>
      </c>
      <c r="M68" s="72">
        <v>0.7</v>
      </c>
      <c r="N68" s="72">
        <v>0.9</v>
      </c>
      <c r="O68" s="73" t="e" cm="1">
        <f t="array" aca="1" ref="O68" ca="1">_xll.RiskUniform(M68,N68)</f>
        <v>#NAME?</v>
      </c>
    </row>
    <row r="69" spans="2:15" x14ac:dyDescent="0.35">
      <c r="B69" s="66">
        <v>65</v>
      </c>
      <c r="C69" s="67">
        <v>1</v>
      </c>
      <c r="D69" s="68">
        <f t="shared" si="0"/>
        <v>1.4705882352941176E-2</v>
      </c>
      <c r="E69" s="67"/>
      <c r="G69" s="66">
        <v>65</v>
      </c>
      <c r="H69" s="67">
        <v>1</v>
      </c>
      <c r="I69" s="68">
        <f t="shared" si="1"/>
        <v>1.0101010101010102E-2</v>
      </c>
      <c r="J69" s="71"/>
      <c r="L69" s="66">
        <v>29</v>
      </c>
      <c r="M69" s="72">
        <v>0.7</v>
      </c>
      <c r="N69" s="72">
        <v>0.7</v>
      </c>
      <c r="O69" s="73" t="e" cm="1">
        <f t="array" aca="1" ref="O69" ca="1">_xll.RiskUniform(M69,N69)</f>
        <v>#NAME?</v>
      </c>
    </row>
    <row r="70" spans="2:15" x14ac:dyDescent="0.35">
      <c r="B70" s="66">
        <v>66</v>
      </c>
      <c r="C70" s="67">
        <v>1</v>
      </c>
      <c r="D70" s="68">
        <f t="shared" ref="D70:D72" si="11">1/68</f>
        <v>1.4705882352941176E-2</v>
      </c>
      <c r="E70" s="67"/>
      <c r="G70" s="66">
        <v>66</v>
      </c>
      <c r="H70" s="67">
        <v>1</v>
      </c>
      <c r="I70" s="68">
        <f t="shared" ref="I70:I103" si="12">1/99</f>
        <v>1.0101010101010102E-2</v>
      </c>
      <c r="J70" s="71"/>
      <c r="L70" s="66">
        <v>30</v>
      </c>
      <c r="M70" s="72">
        <v>0.66</v>
      </c>
      <c r="N70" s="72">
        <v>0.7</v>
      </c>
      <c r="O70" s="73" t="e" cm="1">
        <f t="array" aca="1" ref="O70" ca="1">_xll.RiskUniform(M70,N70)</f>
        <v>#NAME?</v>
      </c>
    </row>
    <row r="71" spans="2:15" x14ac:dyDescent="0.35">
      <c r="B71" s="66">
        <v>67</v>
      </c>
      <c r="C71" s="67">
        <v>1</v>
      </c>
      <c r="D71" s="68">
        <f t="shared" si="11"/>
        <v>1.4705882352941176E-2</v>
      </c>
      <c r="E71" s="67"/>
      <c r="G71" s="66">
        <v>67</v>
      </c>
      <c r="H71" s="67">
        <v>1</v>
      </c>
      <c r="I71" s="68">
        <f t="shared" si="12"/>
        <v>1.0101010101010102E-2</v>
      </c>
      <c r="J71" s="71"/>
      <c r="L71" s="66">
        <v>31</v>
      </c>
      <c r="M71" s="72">
        <v>0.68</v>
      </c>
      <c r="N71" s="72">
        <v>0.72</v>
      </c>
      <c r="O71" s="73" t="e" cm="1">
        <f t="array" aca="1" ref="O71" ca="1">_xll.RiskUniform(M71,N71)</f>
        <v>#NAME?</v>
      </c>
    </row>
    <row r="72" spans="2:15" x14ac:dyDescent="0.35">
      <c r="B72" s="66">
        <v>68</v>
      </c>
      <c r="C72" s="67">
        <v>1</v>
      </c>
      <c r="D72" s="68">
        <f t="shared" si="11"/>
        <v>1.4705882352941176E-2</v>
      </c>
      <c r="E72" s="67"/>
      <c r="G72" s="66">
        <v>68</v>
      </c>
      <c r="H72" s="67">
        <v>1</v>
      </c>
      <c r="I72" s="68">
        <f t="shared" si="12"/>
        <v>1.0101010101010102E-2</v>
      </c>
      <c r="J72" s="71"/>
      <c r="L72" s="66">
        <v>32</v>
      </c>
      <c r="M72" s="72">
        <v>0.6</v>
      </c>
      <c r="N72" s="72">
        <v>0.9</v>
      </c>
      <c r="O72" s="73" t="e" cm="1">
        <f t="array" aca="1" ref="O72" ca="1">_xll.RiskUniform(M72,N72)</f>
        <v>#NAME?</v>
      </c>
    </row>
    <row r="73" spans="2:15" ht="29" x14ac:dyDescent="0.35">
      <c r="B73" s="50" t="s">
        <v>163</v>
      </c>
      <c r="C73" s="69" t="s">
        <v>164</v>
      </c>
      <c r="D73" s="70"/>
      <c r="E73" s="27" t="s">
        <v>165</v>
      </c>
      <c r="G73" s="66">
        <v>69</v>
      </c>
      <c r="H73" s="67">
        <v>1</v>
      </c>
      <c r="I73" s="68">
        <f t="shared" si="12"/>
        <v>1.0101010101010102E-2</v>
      </c>
      <c r="J73" s="71"/>
      <c r="L73" s="66">
        <v>33</v>
      </c>
      <c r="M73" s="72">
        <v>0.1</v>
      </c>
      <c r="N73" s="72">
        <v>0.3</v>
      </c>
      <c r="O73" s="73" t="e" cm="1">
        <f t="array" aca="1" ref="O73" ca="1">_xll.RiskUniform(M73,N73)</f>
        <v>#NAME?</v>
      </c>
    </row>
    <row r="74" spans="2:15" x14ac:dyDescent="0.35">
      <c r="B74" s="66">
        <v>1</v>
      </c>
      <c r="C74" s="72">
        <v>0.9</v>
      </c>
      <c r="D74" s="72">
        <v>1</v>
      </c>
      <c r="E74" s="73" t="e" cm="1">
        <f t="array" aca="1" ref="E74" ca="1">_xll.RiskUniform(C74,D74)</f>
        <v>#NAME?</v>
      </c>
      <c r="G74" s="66">
        <v>70</v>
      </c>
      <c r="H74" s="67">
        <v>1</v>
      </c>
      <c r="I74" s="68">
        <f t="shared" si="12"/>
        <v>1.0101010101010102E-2</v>
      </c>
      <c r="J74" s="71"/>
      <c r="L74" s="66">
        <v>34</v>
      </c>
      <c r="M74" s="72">
        <v>0.8</v>
      </c>
      <c r="N74" s="72">
        <v>1</v>
      </c>
      <c r="O74" s="73" t="e" cm="1">
        <f t="array" aca="1" ref="O74" ca="1">_xll.RiskUniform(M74,N74)</f>
        <v>#NAME?</v>
      </c>
    </row>
    <row r="75" spans="2:15" x14ac:dyDescent="0.35">
      <c r="B75" s="66">
        <v>2</v>
      </c>
      <c r="C75" s="72">
        <v>0.9</v>
      </c>
      <c r="D75" s="72">
        <v>1</v>
      </c>
      <c r="E75" s="73" t="e" cm="1">
        <f t="array" aca="1" ref="E75" ca="1">_xll.RiskUniform(C75,D75)</f>
        <v>#NAME?</v>
      </c>
      <c r="G75" s="66">
        <v>71</v>
      </c>
      <c r="H75" s="67">
        <v>1</v>
      </c>
      <c r="I75" s="68">
        <f t="shared" si="12"/>
        <v>1.0101010101010102E-2</v>
      </c>
      <c r="J75" s="71"/>
      <c r="L75" s="66">
        <v>35</v>
      </c>
      <c r="M75" s="72">
        <v>0.5</v>
      </c>
      <c r="N75" s="72">
        <v>1</v>
      </c>
      <c r="O75" s="73" t="e" cm="1">
        <f t="array" aca="1" ref="O75" ca="1">_xll.RiskUniform(M75,N75)</f>
        <v>#NAME?</v>
      </c>
    </row>
    <row r="76" spans="2:15" x14ac:dyDescent="0.35">
      <c r="B76" s="66">
        <v>3</v>
      </c>
      <c r="C76" s="72">
        <v>0.9</v>
      </c>
      <c r="D76" s="72">
        <v>1</v>
      </c>
      <c r="E76" s="73" t="e" cm="1">
        <f t="array" aca="1" ref="E76" ca="1">_xll.RiskUniform(C76,D76)</f>
        <v>#NAME?</v>
      </c>
      <c r="G76" s="66">
        <v>72</v>
      </c>
      <c r="H76" s="67">
        <v>1</v>
      </c>
      <c r="I76" s="68">
        <f t="shared" si="12"/>
        <v>1.0101010101010102E-2</v>
      </c>
      <c r="J76" s="71"/>
    </row>
    <row r="77" spans="2:15" x14ac:dyDescent="0.35">
      <c r="B77" s="66">
        <v>4</v>
      </c>
      <c r="C77" s="72">
        <v>0.25</v>
      </c>
      <c r="D77" s="72">
        <v>0.5</v>
      </c>
      <c r="E77" s="73" t="e" cm="1">
        <f t="array" aca="1" ref="E77" ca="1">_xll.RiskUniform(C77,D77)</f>
        <v>#NAME?</v>
      </c>
      <c r="G77" s="66">
        <v>73</v>
      </c>
      <c r="H77" s="67">
        <v>1</v>
      </c>
      <c r="I77" s="68">
        <f t="shared" si="12"/>
        <v>1.0101010101010102E-2</v>
      </c>
      <c r="J77" s="71"/>
    </row>
    <row r="78" spans="2:15" x14ac:dyDescent="0.35">
      <c r="B78" s="66">
        <v>5</v>
      </c>
      <c r="C78" s="72">
        <v>0.25</v>
      </c>
      <c r="D78" s="72">
        <v>0.5</v>
      </c>
      <c r="E78" s="73" t="e" cm="1">
        <f t="array" aca="1" ref="E78" ca="1">_xll.RiskUniform(C78,D78)</f>
        <v>#NAME?</v>
      </c>
      <c r="G78" s="66">
        <v>74</v>
      </c>
      <c r="H78" s="67">
        <v>1</v>
      </c>
      <c r="I78" s="68">
        <f t="shared" si="12"/>
        <v>1.0101010101010102E-2</v>
      </c>
      <c r="J78" s="71"/>
    </row>
    <row r="79" spans="2:15" x14ac:dyDescent="0.35">
      <c r="B79" s="66">
        <v>6</v>
      </c>
      <c r="C79" s="72">
        <v>0.25</v>
      </c>
      <c r="D79" s="72">
        <v>0.5</v>
      </c>
      <c r="E79" s="73" t="e" cm="1">
        <f t="array" aca="1" ref="E79" ca="1">_xll.RiskUniform(C79,D79)</f>
        <v>#NAME?</v>
      </c>
      <c r="G79" s="66">
        <v>75</v>
      </c>
      <c r="H79" s="67">
        <v>1</v>
      </c>
      <c r="I79" s="68">
        <f t="shared" si="12"/>
        <v>1.0101010101010102E-2</v>
      </c>
      <c r="J79" s="71"/>
    </row>
    <row r="80" spans="2:15" x14ac:dyDescent="0.35">
      <c r="B80" s="66">
        <v>7</v>
      </c>
      <c r="C80" s="77">
        <v>0.5</v>
      </c>
      <c r="D80" s="77">
        <v>0.75</v>
      </c>
      <c r="E80" s="73" t="e" cm="1">
        <f t="array" aca="1" ref="E80" ca="1">_xll.RiskUniform(C80,D80)</f>
        <v>#NAME?</v>
      </c>
      <c r="G80" s="66">
        <v>76</v>
      </c>
      <c r="H80" s="67">
        <v>1</v>
      </c>
      <c r="I80" s="68">
        <f t="shared" si="12"/>
        <v>1.0101010101010102E-2</v>
      </c>
      <c r="J80" s="71"/>
    </row>
    <row r="81" spans="2:10" x14ac:dyDescent="0.35">
      <c r="B81" s="66">
        <v>8</v>
      </c>
      <c r="C81" s="77">
        <v>0.5</v>
      </c>
      <c r="D81" s="77">
        <v>0.75</v>
      </c>
      <c r="E81" s="73" t="e" cm="1">
        <f t="array" aca="1" ref="E81" ca="1">_xll.RiskUniform(C81,D81)</f>
        <v>#NAME?</v>
      </c>
      <c r="G81" s="66">
        <v>77</v>
      </c>
      <c r="H81" s="67">
        <v>1</v>
      </c>
      <c r="I81" s="68">
        <f t="shared" si="12"/>
        <v>1.0101010101010102E-2</v>
      </c>
      <c r="J81" s="71"/>
    </row>
    <row r="82" spans="2:10" x14ac:dyDescent="0.35">
      <c r="B82" s="66">
        <v>9</v>
      </c>
      <c r="C82" s="77">
        <v>0.84</v>
      </c>
      <c r="D82" s="77">
        <v>0.86</v>
      </c>
      <c r="E82" s="73" t="e" cm="1">
        <f t="array" aca="1" ref="E82" ca="1">_xll.RiskUniform(C82,D82)</f>
        <v>#NAME?</v>
      </c>
      <c r="G82" s="66">
        <v>78</v>
      </c>
      <c r="H82" s="67">
        <v>1</v>
      </c>
      <c r="I82" s="68">
        <f t="shared" si="12"/>
        <v>1.0101010101010102E-2</v>
      </c>
      <c r="J82" s="71"/>
    </row>
    <row r="83" spans="2:10" x14ac:dyDescent="0.35">
      <c r="B83" s="66">
        <v>10</v>
      </c>
      <c r="C83" s="72">
        <v>0.9</v>
      </c>
      <c r="D83" s="72">
        <v>1</v>
      </c>
      <c r="E83" s="73" t="e" cm="1">
        <f t="array" aca="1" ref="E83" ca="1">_xll.RiskUniform(C83,D83)</f>
        <v>#NAME?</v>
      </c>
      <c r="G83" s="66">
        <v>79</v>
      </c>
      <c r="H83" s="67">
        <v>1</v>
      </c>
      <c r="I83" s="68">
        <f t="shared" si="12"/>
        <v>1.0101010101010102E-2</v>
      </c>
      <c r="J83" s="71"/>
    </row>
    <row r="84" spans="2:10" x14ac:dyDescent="0.35">
      <c r="B84" s="66">
        <v>11</v>
      </c>
      <c r="C84" s="72">
        <v>0.9</v>
      </c>
      <c r="D84" s="72">
        <v>1</v>
      </c>
      <c r="E84" s="73" t="e" cm="1">
        <f t="array" aca="1" ref="E84" ca="1">_xll.RiskUniform(C84,D84)</f>
        <v>#NAME?</v>
      </c>
      <c r="G84" s="66">
        <v>80</v>
      </c>
      <c r="H84" s="67">
        <v>1</v>
      </c>
      <c r="I84" s="68">
        <f t="shared" si="12"/>
        <v>1.0101010101010102E-2</v>
      </c>
      <c r="J84" s="71"/>
    </row>
    <row r="85" spans="2:10" x14ac:dyDescent="0.35">
      <c r="B85" s="66">
        <v>12</v>
      </c>
      <c r="C85" s="77">
        <v>0.75</v>
      </c>
      <c r="D85" s="77">
        <v>1</v>
      </c>
      <c r="E85" s="73" t="e" cm="1">
        <f t="array" aca="1" ref="E85" ca="1">_xll.RiskUniform(C85,D85)</f>
        <v>#NAME?</v>
      </c>
      <c r="G85" s="66">
        <v>81</v>
      </c>
      <c r="H85" s="67">
        <v>1</v>
      </c>
      <c r="I85" s="68">
        <f t="shared" si="12"/>
        <v>1.0101010101010102E-2</v>
      </c>
      <c r="J85" s="71"/>
    </row>
    <row r="86" spans="2:10" x14ac:dyDescent="0.35">
      <c r="B86" s="66">
        <v>13</v>
      </c>
      <c r="C86" s="77">
        <v>0.01</v>
      </c>
      <c r="D86" s="77">
        <v>0.43</v>
      </c>
      <c r="E86" s="73" t="e" cm="1">
        <f t="array" aca="1" ref="E86" ca="1">_xll.RiskUniform(C86,D86)</f>
        <v>#NAME?</v>
      </c>
      <c r="G86" s="66">
        <v>82</v>
      </c>
      <c r="H86" s="67">
        <v>1</v>
      </c>
      <c r="I86" s="68">
        <f t="shared" si="12"/>
        <v>1.0101010101010102E-2</v>
      </c>
      <c r="J86" s="71"/>
    </row>
    <row r="87" spans="2:10" x14ac:dyDescent="0.35">
      <c r="B87" s="66">
        <v>14</v>
      </c>
      <c r="C87" s="77">
        <v>0.45</v>
      </c>
      <c r="D87" s="77">
        <v>1</v>
      </c>
      <c r="E87" s="73" t="e" cm="1">
        <f t="array" aca="1" ref="E87" ca="1">_xll.RiskUniform(C87,D87)</f>
        <v>#NAME?</v>
      </c>
      <c r="G87" s="66">
        <v>83</v>
      </c>
      <c r="H87" s="67">
        <v>1</v>
      </c>
      <c r="I87" s="68">
        <f t="shared" si="12"/>
        <v>1.0101010101010102E-2</v>
      </c>
      <c r="J87" s="71"/>
    </row>
    <row r="88" spans="2:10" x14ac:dyDescent="0.35">
      <c r="B88" s="66">
        <v>15</v>
      </c>
      <c r="C88" s="77">
        <v>0.6</v>
      </c>
      <c r="D88" s="77">
        <v>1</v>
      </c>
      <c r="E88" s="73" t="e" cm="1">
        <f t="array" aca="1" ref="E88" ca="1">_xll.RiskUniform(C88,D88)</f>
        <v>#NAME?</v>
      </c>
      <c r="G88" s="66">
        <v>84</v>
      </c>
      <c r="H88" s="67">
        <v>1</v>
      </c>
      <c r="I88" s="68">
        <f t="shared" si="12"/>
        <v>1.0101010101010102E-2</v>
      </c>
      <c r="J88" s="71"/>
    </row>
    <row r="89" spans="2:10" x14ac:dyDescent="0.35">
      <c r="B89" s="66">
        <v>16</v>
      </c>
      <c r="C89" s="77">
        <v>0.4</v>
      </c>
      <c r="D89" s="77">
        <v>0.4</v>
      </c>
      <c r="E89" s="73" t="e" cm="1">
        <f t="array" aca="1" ref="E89" ca="1">_xll.RiskUniform(C89,D89)</f>
        <v>#NAME?</v>
      </c>
      <c r="G89" s="66">
        <v>85</v>
      </c>
      <c r="H89" s="67">
        <v>1</v>
      </c>
      <c r="I89" s="68">
        <f t="shared" si="12"/>
        <v>1.0101010101010102E-2</v>
      </c>
      <c r="J89" s="71"/>
    </row>
    <row r="90" spans="2:10" x14ac:dyDescent="0.35">
      <c r="B90" s="66">
        <v>17</v>
      </c>
      <c r="C90" s="77">
        <v>0.4</v>
      </c>
      <c r="D90" s="77">
        <v>0.5</v>
      </c>
      <c r="E90" s="73" t="e" cm="1">
        <f t="array" aca="1" ref="E90" ca="1">_xll.RiskUniform(C90,D90)</f>
        <v>#NAME?</v>
      </c>
      <c r="G90" s="66">
        <v>86</v>
      </c>
      <c r="H90" s="67">
        <v>1</v>
      </c>
      <c r="I90" s="68">
        <f t="shared" si="12"/>
        <v>1.0101010101010102E-2</v>
      </c>
      <c r="J90" s="71"/>
    </row>
    <row r="91" spans="2:10" x14ac:dyDescent="0.35">
      <c r="B91" s="66">
        <v>18</v>
      </c>
      <c r="C91" s="77">
        <v>0.01</v>
      </c>
      <c r="D91" s="77">
        <v>0.75</v>
      </c>
      <c r="E91" s="73" t="e" cm="1">
        <f t="array" aca="1" ref="E91" ca="1">_xll.RiskUniform(C91,D91)</f>
        <v>#NAME?</v>
      </c>
      <c r="G91" s="66">
        <v>87</v>
      </c>
      <c r="H91" s="67">
        <v>1</v>
      </c>
      <c r="I91" s="68">
        <f t="shared" si="12"/>
        <v>1.0101010101010102E-2</v>
      </c>
      <c r="J91" s="71"/>
    </row>
    <row r="92" spans="2:10" x14ac:dyDescent="0.35">
      <c r="B92" s="66">
        <v>19</v>
      </c>
      <c r="C92" s="77">
        <v>0.65</v>
      </c>
      <c r="D92" s="77">
        <v>1</v>
      </c>
      <c r="E92" s="73" t="e" cm="1">
        <f t="array" aca="1" ref="E92" ca="1">_xll.RiskUniform(C92,D92)</f>
        <v>#NAME?</v>
      </c>
      <c r="G92" s="66">
        <v>88</v>
      </c>
      <c r="H92" s="67">
        <v>1</v>
      </c>
      <c r="I92" s="68">
        <f t="shared" si="12"/>
        <v>1.0101010101010102E-2</v>
      </c>
      <c r="J92" s="71"/>
    </row>
    <row r="93" spans="2:10" x14ac:dyDescent="0.35">
      <c r="B93" s="66">
        <v>20</v>
      </c>
      <c r="C93" s="77">
        <v>0.7</v>
      </c>
      <c r="D93" s="77">
        <v>0.9</v>
      </c>
      <c r="E93" s="73" t="e" cm="1">
        <f t="array" aca="1" ref="E93" ca="1">_xll.RiskUniform(C93,D93)</f>
        <v>#NAME?</v>
      </c>
      <c r="G93" s="66">
        <v>89</v>
      </c>
      <c r="H93" s="67">
        <v>1</v>
      </c>
      <c r="I93" s="68">
        <f t="shared" si="12"/>
        <v>1.0101010101010102E-2</v>
      </c>
      <c r="J93" s="71"/>
    </row>
    <row r="94" spans="2:10" x14ac:dyDescent="0.35">
      <c r="B94" s="66">
        <v>21</v>
      </c>
      <c r="C94" s="77">
        <v>0.75</v>
      </c>
      <c r="D94" s="77">
        <v>1</v>
      </c>
      <c r="E94" s="73" t="e" cm="1">
        <f t="array" aca="1" ref="E94" ca="1">_xll.RiskUniform(C94,D94)</f>
        <v>#NAME?</v>
      </c>
      <c r="G94" s="66">
        <v>90</v>
      </c>
      <c r="H94" s="67">
        <v>1</v>
      </c>
      <c r="I94" s="68">
        <f t="shared" si="12"/>
        <v>1.0101010101010102E-2</v>
      </c>
      <c r="J94" s="71"/>
    </row>
    <row r="95" spans="2:10" x14ac:dyDescent="0.35">
      <c r="B95" s="66">
        <v>22</v>
      </c>
      <c r="C95" s="77">
        <v>0.7</v>
      </c>
      <c r="D95" s="77">
        <v>0.9</v>
      </c>
      <c r="E95" s="73" t="e" cm="1">
        <f t="array" aca="1" ref="E95" ca="1">_xll.RiskUniform(C95,D95)</f>
        <v>#NAME?</v>
      </c>
      <c r="G95" s="66">
        <v>91</v>
      </c>
      <c r="H95" s="67">
        <v>1</v>
      </c>
      <c r="I95" s="68">
        <f t="shared" si="12"/>
        <v>1.0101010101010102E-2</v>
      </c>
      <c r="J95" s="71"/>
    </row>
    <row r="96" spans="2:10" x14ac:dyDescent="0.35">
      <c r="B96" s="66">
        <v>23</v>
      </c>
      <c r="C96" s="77">
        <v>0.7</v>
      </c>
      <c r="D96" s="77">
        <v>0.7</v>
      </c>
      <c r="E96" s="73" t="e" cm="1">
        <f t="array" aca="1" ref="E96" ca="1">_xll.RiskUniform(C96,D96)</f>
        <v>#NAME?</v>
      </c>
      <c r="G96" s="66">
        <v>92</v>
      </c>
      <c r="H96" s="67">
        <v>1</v>
      </c>
      <c r="I96" s="68">
        <f t="shared" si="12"/>
        <v>1.0101010101010102E-2</v>
      </c>
      <c r="J96" s="71"/>
    </row>
    <row r="97" spans="2:10" x14ac:dyDescent="0.35">
      <c r="B97" s="66">
        <v>24</v>
      </c>
      <c r="C97" s="77">
        <v>0.85</v>
      </c>
      <c r="D97" s="77">
        <v>0.99</v>
      </c>
      <c r="E97" s="73" t="e" cm="1">
        <f t="array" aca="1" ref="E97" ca="1">_xll.RiskUniform(C97,D97)</f>
        <v>#NAME?</v>
      </c>
      <c r="G97" s="66">
        <v>93</v>
      </c>
      <c r="H97" s="67">
        <v>1</v>
      </c>
      <c r="I97" s="68">
        <f t="shared" si="12"/>
        <v>1.0101010101010102E-2</v>
      </c>
      <c r="J97" s="71"/>
    </row>
    <row r="98" spans="2:10" x14ac:dyDescent="0.35">
      <c r="B98" s="66">
        <v>25</v>
      </c>
      <c r="C98" s="77">
        <v>0.25</v>
      </c>
      <c r="D98" s="77">
        <v>0.5</v>
      </c>
      <c r="E98" s="73" t="e" cm="1">
        <f t="array" aca="1" ref="E98" ca="1">_xll.RiskUniform(C98,D98)</f>
        <v>#NAME?</v>
      </c>
      <c r="G98" s="66">
        <v>94</v>
      </c>
      <c r="H98" s="67">
        <v>1</v>
      </c>
      <c r="I98" s="68">
        <f t="shared" si="12"/>
        <v>1.0101010101010102E-2</v>
      </c>
      <c r="J98" s="71"/>
    </row>
    <row r="99" spans="2:10" x14ac:dyDescent="0.35">
      <c r="B99" s="66">
        <v>26</v>
      </c>
      <c r="C99" s="77">
        <v>0.65</v>
      </c>
      <c r="D99" s="77">
        <v>1</v>
      </c>
      <c r="E99" s="73" t="e" cm="1">
        <f t="array" aca="1" ref="E99" ca="1">_xll.RiskUniform(C99,D99)</f>
        <v>#NAME?</v>
      </c>
      <c r="G99" s="66">
        <v>95</v>
      </c>
      <c r="H99" s="67">
        <v>1</v>
      </c>
      <c r="I99" s="68">
        <f t="shared" si="12"/>
        <v>1.0101010101010102E-2</v>
      </c>
      <c r="J99" s="71"/>
    </row>
    <row r="100" spans="2:10" x14ac:dyDescent="0.35">
      <c r="B100" s="66">
        <v>27</v>
      </c>
      <c r="C100" s="77">
        <v>0.4</v>
      </c>
      <c r="D100" s="77">
        <v>0.65</v>
      </c>
      <c r="E100" s="73" t="e" cm="1">
        <f t="array" aca="1" ref="E100" ca="1">_xll.RiskUniform(C100,D100)</f>
        <v>#NAME?</v>
      </c>
      <c r="G100" s="66">
        <v>96</v>
      </c>
      <c r="H100" s="67">
        <v>1</v>
      </c>
      <c r="I100" s="68">
        <f t="shared" si="12"/>
        <v>1.0101010101010102E-2</v>
      </c>
      <c r="J100" s="71"/>
    </row>
    <row r="101" spans="2:10" x14ac:dyDescent="0.35">
      <c r="B101" s="66">
        <v>28</v>
      </c>
      <c r="C101" s="77">
        <v>0.3</v>
      </c>
      <c r="D101" s="77">
        <v>0.6</v>
      </c>
      <c r="E101" s="73" t="e" cm="1">
        <f t="array" aca="1" ref="E101" ca="1">_xll.RiskUniform(C101,D101)</f>
        <v>#NAME?</v>
      </c>
      <c r="G101" s="66">
        <v>97</v>
      </c>
      <c r="H101" s="67">
        <v>1</v>
      </c>
      <c r="I101" s="68">
        <f t="shared" si="12"/>
        <v>1.0101010101010102E-2</v>
      </c>
      <c r="J101" s="71"/>
    </row>
    <row r="102" spans="2:10" x14ac:dyDescent="0.35">
      <c r="B102" s="66">
        <v>29</v>
      </c>
      <c r="C102" s="77">
        <v>0.8</v>
      </c>
      <c r="D102" s="77">
        <v>1</v>
      </c>
      <c r="E102" s="73" t="e" cm="1">
        <f t="array" aca="1" ref="E102" ca="1">_xll.RiskUniform(C102,D102)</f>
        <v>#NAME?</v>
      </c>
      <c r="G102" s="66">
        <v>98</v>
      </c>
      <c r="H102" s="67">
        <v>1</v>
      </c>
      <c r="I102" s="68">
        <f t="shared" si="12"/>
        <v>1.0101010101010102E-2</v>
      </c>
      <c r="J102" s="71"/>
    </row>
    <row r="103" spans="2:10" x14ac:dyDescent="0.35">
      <c r="B103" s="66">
        <v>30</v>
      </c>
      <c r="C103" s="77">
        <v>0.6</v>
      </c>
      <c r="D103" s="77">
        <v>0.8</v>
      </c>
      <c r="E103" s="73" t="e" cm="1">
        <f t="array" aca="1" ref="E103" ca="1">_xll.RiskUniform(C103,D103)</f>
        <v>#NAME?</v>
      </c>
      <c r="G103" s="66">
        <v>99</v>
      </c>
      <c r="H103" s="67">
        <v>1</v>
      </c>
      <c r="I103" s="68">
        <f t="shared" si="12"/>
        <v>1.0101010101010102E-2</v>
      </c>
      <c r="J103" s="71"/>
    </row>
    <row r="104" spans="2:10" ht="29" x14ac:dyDescent="0.35">
      <c r="B104" s="66">
        <v>31</v>
      </c>
      <c r="C104" s="77">
        <v>0.3</v>
      </c>
      <c r="D104" s="77">
        <v>0.6</v>
      </c>
      <c r="E104" s="73" t="e" cm="1">
        <f t="array" aca="1" ref="E104" ca="1">_xll.RiskUniform(C104,D104)</f>
        <v>#NAME?</v>
      </c>
      <c r="G104" s="50" t="s">
        <v>163</v>
      </c>
      <c r="H104" s="69" t="s">
        <v>164</v>
      </c>
      <c r="I104" s="70"/>
      <c r="J104" s="27" t="s">
        <v>165</v>
      </c>
    </row>
    <row r="105" spans="2:10" x14ac:dyDescent="0.35">
      <c r="B105" s="66">
        <v>32</v>
      </c>
      <c r="C105" s="77">
        <v>0.3</v>
      </c>
      <c r="D105" s="77">
        <v>0.6</v>
      </c>
      <c r="E105" s="73" t="e" cm="1">
        <f t="array" aca="1" ref="E105" ca="1">_xll.RiskUniform(C105,D105)</f>
        <v>#NAME?</v>
      </c>
      <c r="G105" s="66">
        <v>1</v>
      </c>
      <c r="H105" s="72">
        <v>0.65</v>
      </c>
      <c r="I105" s="72">
        <v>0.75</v>
      </c>
      <c r="J105" s="73" t="e" cm="1">
        <f t="array" aca="1" ref="J105" ca="1">_xll.RiskUniform(H105,I105)</f>
        <v>#NAME?</v>
      </c>
    </row>
    <row r="106" spans="2:10" x14ac:dyDescent="0.35">
      <c r="B106" s="66">
        <v>33</v>
      </c>
      <c r="C106" s="77">
        <v>0.9</v>
      </c>
      <c r="D106" s="77">
        <v>1</v>
      </c>
      <c r="E106" s="73" t="e" cm="1">
        <f t="array" aca="1" ref="E106" ca="1">_xll.RiskUniform(C106,D106)</f>
        <v>#NAME?</v>
      </c>
      <c r="G106" s="66">
        <v>2</v>
      </c>
      <c r="H106" s="72">
        <v>0.15</v>
      </c>
      <c r="I106" s="72">
        <v>0.24</v>
      </c>
      <c r="J106" s="73" t="e" cm="1">
        <f t="array" aca="1" ref="J106" ca="1">_xll.RiskUniform(H106,I106)</f>
        <v>#NAME?</v>
      </c>
    </row>
    <row r="107" spans="2:10" x14ac:dyDescent="0.35">
      <c r="B107" s="66">
        <v>34</v>
      </c>
      <c r="C107" s="77">
        <v>0.42</v>
      </c>
      <c r="D107" s="77">
        <v>0.46</v>
      </c>
      <c r="E107" s="73" t="e" cm="1">
        <f t="array" aca="1" ref="E107" ca="1">_xll.RiskUniform(C107,D107)</f>
        <v>#NAME?</v>
      </c>
      <c r="G107" s="66">
        <v>3</v>
      </c>
      <c r="H107" s="72">
        <v>0.15</v>
      </c>
      <c r="I107" s="72">
        <v>0.25</v>
      </c>
      <c r="J107" s="73" t="e" cm="1">
        <f t="array" aca="1" ref="J107" ca="1">_xll.RiskUniform(H107,I107)</f>
        <v>#NAME?</v>
      </c>
    </row>
    <row r="108" spans="2:10" x14ac:dyDescent="0.35">
      <c r="B108" s="66">
        <v>35</v>
      </c>
      <c r="C108" s="77">
        <v>0.49</v>
      </c>
      <c r="D108" s="77">
        <v>0.51</v>
      </c>
      <c r="E108" s="73" t="e" cm="1">
        <f t="array" aca="1" ref="E108" ca="1">_xll.RiskUniform(C108,D108)</f>
        <v>#NAME?</v>
      </c>
      <c r="G108" s="66">
        <v>4</v>
      </c>
      <c r="H108" s="72">
        <v>0.55000000000000004</v>
      </c>
      <c r="I108" s="72">
        <v>0.7</v>
      </c>
      <c r="J108" s="73" t="e" cm="1">
        <f t="array" aca="1" ref="J108" ca="1">_xll.RiskUniform(H108,I108)</f>
        <v>#NAME?</v>
      </c>
    </row>
    <row r="109" spans="2:10" x14ac:dyDescent="0.35">
      <c r="B109" s="66">
        <v>36</v>
      </c>
      <c r="C109" s="77">
        <v>0.66</v>
      </c>
      <c r="D109" s="77">
        <v>0.7</v>
      </c>
      <c r="E109" s="73" t="e" cm="1">
        <f t="array" aca="1" ref="E109" ca="1">_xll.RiskUniform(C109,D109)</f>
        <v>#NAME?</v>
      </c>
      <c r="G109" s="66">
        <v>5</v>
      </c>
      <c r="H109" s="72">
        <v>0.03</v>
      </c>
      <c r="I109" s="72">
        <v>0.05</v>
      </c>
      <c r="J109" s="73" t="e" cm="1">
        <f t="array" aca="1" ref="J109" ca="1">_xll.RiskUniform(H109,I109)</f>
        <v>#NAME?</v>
      </c>
    </row>
    <row r="110" spans="2:10" x14ac:dyDescent="0.35">
      <c r="B110" s="66">
        <v>37</v>
      </c>
      <c r="C110" s="77">
        <v>0.68</v>
      </c>
      <c r="D110" s="77">
        <v>0.72</v>
      </c>
      <c r="E110" s="73" t="e" cm="1">
        <f t="array" aca="1" ref="E110" ca="1">_xll.RiskUniform(C110,D110)</f>
        <v>#NAME?</v>
      </c>
      <c r="G110" s="66">
        <v>6</v>
      </c>
      <c r="H110" s="72">
        <v>0.4</v>
      </c>
      <c r="I110" s="72">
        <v>0.5</v>
      </c>
      <c r="J110" s="73" t="e" cm="1">
        <f t="array" aca="1" ref="J110" ca="1">_xll.RiskUniform(H110,I110)</f>
        <v>#NAME?</v>
      </c>
    </row>
    <row r="111" spans="2:10" x14ac:dyDescent="0.35">
      <c r="B111" s="66">
        <v>38</v>
      </c>
      <c r="C111" s="77">
        <v>0.6</v>
      </c>
      <c r="D111" s="77">
        <v>0.9</v>
      </c>
      <c r="E111" s="73" t="e" cm="1">
        <f t="array" aca="1" ref="E111" ca="1">_xll.RiskUniform(C111,D111)</f>
        <v>#NAME?</v>
      </c>
      <c r="G111" s="66">
        <v>7</v>
      </c>
      <c r="H111" s="72">
        <v>0.2</v>
      </c>
      <c r="I111" s="72">
        <v>0.3</v>
      </c>
      <c r="J111" s="73" t="e" cm="1">
        <f t="array" aca="1" ref="J111" ca="1">_xll.RiskUniform(H111,I111)</f>
        <v>#NAME?</v>
      </c>
    </row>
    <row r="112" spans="2:10" x14ac:dyDescent="0.35">
      <c r="B112" s="66">
        <v>39</v>
      </c>
      <c r="C112" s="77">
        <v>0.3</v>
      </c>
      <c r="D112" s="77">
        <v>0.6</v>
      </c>
      <c r="E112" s="73" t="e" cm="1">
        <f t="array" aca="1" ref="E112" ca="1">_xll.RiskUniform(C112,D112)</f>
        <v>#NAME?</v>
      </c>
      <c r="G112" s="66">
        <v>8</v>
      </c>
      <c r="H112" s="72">
        <v>0.3</v>
      </c>
      <c r="I112" s="72">
        <v>0.4</v>
      </c>
      <c r="J112" s="73" t="e" cm="1">
        <f t="array" aca="1" ref="J112" ca="1">_xll.RiskUniform(H112,I112)</f>
        <v>#NAME?</v>
      </c>
    </row>
    <row r="113" spans="2:10" x14ac:dyDescent="0.35">
      <c r="B113" s="66">
        <v>40</v>
      </c>
      <c r="C113" s="77">
        <v>0.8</v>
      </c>
      <c r="D113" s="77">
        <v>1</v>
      </c>
      <c r="E113" s="73" t="e" cm="1">
        <f t="array" aca="1" ref="E113" ca="1">_xll.RiskUniform(C113,D113)</f>
        <v>#NAME?</v>
      </c>
      <c r="G113" s="66">
        <v>9</v>
      </c>
      <c r="H113" s="72">
        <v>0.6</v>
      </c>
      <c r="I113" s="72">
        <v>0.7</v>
      </c>
      <c r="J113" s="73" t="e" cm="1">
        <f t="array" aca="1" ref="J113" ca="1">_xll.RiskUniform(H113,I113)</f>
        <v>#NAME?</v>
      </c>
    </row>
    <row r="114" spans="2:10" x14ac:dyDescent="0.35">
      <c r="B114" s="66">
        <v>41</v>
      </c>
      <c r="C114" s="77">
        <v>0.8</v>
      </c>
      <c r="D114" s="77">
        <v>1</v>
      </c>
      <c r="E114" s="73" t="e" cm="1">
        <f t="array" aca="1" ref="E114" ca="1">_xll.RiskUniform(C114,D114)</f>
        <v>#NAME?</v>
      </c>
      <c r="G114" s="66">
        <v>10</v>
      </c>
      <c r="H114" s="72">
        <v>0.05</v>
      </c>
      <c r="I114" s="72">
        <v>0.1</v>
      </c>
      <c r="J114" s="73" t="e" cm="1">
        <f t="array" aca="1" ref="J114" ca="1">_xll.RiskUniform(H114,I114)</f>
        <v>#NAME?</v>
      </c>
    </row>
    <row r="115" spans="2:10" x14ac:dyDescent="0.35">
      <c r="B115" s="66">
        <v>42</v>
      </c>
      <c r="C115" s="77">
        <v>0.3</v>
      </c>
      <c r="D115" s="77">
        <v>0.6</v>
      </c>
      <c r="E115" s="73" t="e" cm="1">
        <f t="array" aca="1" ref="E115" ca="1">_xll.RiskUniform(C115,D115)</f>
        <v>#NAME?</v>
      </c>
      <c r="G115" s="66">
        <v>11</v>
      </c>
      <c r="H115" s="72">
        <v>0.4</v>
      </c>
      <c r="I115" s="72">
        <v>0.5</v>
      </c>
      <c r="J115" s="73" t="e" cm="1">
        <f t="array" aca="1" ref="J115" ca="1">_xll.RiskUniform(H115,I115)</f>
        <v>#NAME?</v>
      </c>
    </row>
    <row r="116" spans="2:10" x14ac:dyDescent="0.35">
      <c r="B116" s="66">
        <v>43</v>
      </c>
      <c r="C116" s="77">
        <v>0.8</v>
      </c>
      <c r="D116" s="77">
        <v>1</v>
      </c>
      <c r="E116" s="73" t="e" cm="1">
        <f t="array" aca="1" ref="E116" ca="1">_xll.RiskUniform(C116,D116)</f>
        <v>#NAME?</v>
      </c>
      <c r="G116" s="66">
        <v>12</v>
      </c>
      <c r="H116" s="72">
        <v>0.8</v>
      </c>
      <c r="I116" s="72">
        <v>0.9</v>
      </c>
      <c r="J116" s="73" t="e" cm="1">
        <f t="array" aca="1" ref="J116" ca="1">_xll.RiskUniform(H116,I116)</f>
        <v>#NAME?</v>
      </c>
    </row>
    <row r="117" spans="2:10" x14ac:dyDescent="0.35">
      <c r="B117" s="66">
        <v>44</v>
      </c>
      <c r="C117" s="77">
        <v>0.1</v>
      </c>
      <c r="D117" s="77">
        <v>0.3</v>
      </c>
      <c r="E117" s="73" t="e" cm="1">
        <f t="array" aca="1" ref="E117" ca="1">_xll.RiskUniform(C117,D117)</f>
        <v>#NAME?</v>
      </c>
      <c r="G117" s="66">
        <v>13</v>
      </c>
      <c r="H117" s="72">
        <v>0.4</v>
      </c>
      <c r="I117" s="72">
        <v>0.5</v>
      </c>
      <c r="J117" s="73" t="e" cm="1">
        <f t="array" aca="1" ref="J117" ca="1">_xll.RiskUniform(H117,I117)</f>
        <v>#NAME?</v>
      </c>
    </row>
    <row r="118" spans="2:10" x14ac:dyDescent="0.35">
      <c r="B118" s="66">
        <v>45</v>
      </c>
      <c r="C118" s="77">
        <v>0.8</v>
      </c>
      <c r="D118" s="77">
        <v>1</v>
      </c>
      <c r="E118" s="73" t="e" cm="1">
        <f t="array" aca="1" ref="E118" ca="1">_xll.RiskUniform(C118,D118)</f>
        <v>#NAME?</v>
      </c>
      <c r="G118" s="66">
        <v>14</v>
      </c>
      <c r="H118" s="72">
        <v>0.2</v>
      </c>
      <c r="I118" s="72">
        <v>0.3</v>
      </c>
      <c r="J118" s="73" t="e" cm="1">
        <f t="array" aca="1" ref="J118" ca="1">_xll.RiskUniform(H118,I118)</f>
        <v>#NAME?</v>
      </c>
    </row>
    <row r="119" spans="2:10" x14ac:dyDescent="0.35">
      <c r="B119" s="66">
        <v>46</v>
      </c>
      <c r="C119" s="77">
        <v>0.4</v>
      </c>
      <c r="D119" s="77">
        <v>0.7</v>
      </c>
      <c r="E119" s="73" t="e" cm="1">
        <f t="array" aca="1" ref="E119" ca="1">_xll.RiskUniform(C119,D119)</f>
        <v>#NAME?</v>
      </c>
      <c r="G119" s="66">
        <v>15</v>
      </c>
      <c r="H119" s="72">
        <v>0.6</v>
      </c>
      <c r="I119" s="72">
        <v>0.7</v>
      </c>
      <c r="J119" s="73" t="e" cm="1">
        <f t="array" aca="1" ref="J119" ca="1">_xll.RiskUniform(H119,I119)</f>
        <v>#NAME?</v>
      </c>
    </row>
    <row r="120" spans="2:10" x14ac:dyDescent="0.35">
      <c r="B120" s="66">
        <v>47</v>
      </c>
      <c r="C120" s="77">
        <v>0.5</v>
      </c>
      <c r="D120" s="77">
        <v>0.8</v>
      </c>
      <c r="E120" s="73" t="e" cm="1">
        <f t="array" aca="1" ref="E120" ca="1">_xll.RiskUniform(C120,D120)</f>
        <v>#NAME?</v>
      </c>
      <c r="G120" s="66">
        <v>16</v>
      </c>
      <c r="H120" s="72">
        <v>0.05</v>
      </c>
      <c r="I120" s="72">
        <v>0.1</v>
      </c>
      <c r="J120" s="73" t="e" cm="1">
        <f t="array" aca="1" ref="J120" ca="1">_xll.RiskUniform(H120,I120)</f>
        <v>#NAME?</v>
      </c>
    </row>
    <row r="121" spans="2:10" x14ac:dyDescent="0.35">
      <c r="B121" s="66">
        <v>48</v>
      </c>
      <c r="C121" s="77">
        <v>0.5</v>
      </c>
      <c r="D121" s="77">
        <v>1</v>
      </c>
      <c r="E121" s="73" t="e" cm="1">
        <f t="array" aca="1" ref="E121" ca="1">_xll.RiskUniform(C121,D121)</f>
        <v>#NAME?</v>
      </c>
      <c r="G121" s="66">
        <v>17</v>
      </c>
      <c r="H121" s="72">
        <v>0.8</v>
      </c>
      <c r="I121" s="72">
        <v>0.9</v>
      </c>
      <c r="J121" s="73" t="e" cm="1">
        <f t="array" aca="1" ref="J121" ca="1">_xll.RiskUniform(H121,I121)</f>
        <v>#NAME?</v>
      </c>
    </row>
    <row r="122" spans="2:10" x14ac:dyDescent="0.35">
      <c r="B122" s="66">
        <v>49</v>
      </c>
      <c r="C122" s="77">
        <v>0.5</v>
      </c>
      <c r="D122" s="77">
        <v>1</v>
      </c>
      <c r="E122" s="73" t="e" cm="1">
        <f t="array" aca="1" ref="E122" ca="1">_xll.RiskUniform(C122,D122)</f>
        <v>#NAME?</v>
      </c>
      <c r="G122" s="66">
        <v>18</v>
      </c>
      <c r="H122" s="72">
        <v>0.8</v>
      </c>
      <c r="I122" s="72">
        <v>1</v>
      </c>
      <c r="J122" s="73" t="e" cm="1">
        <f t="array" aca="1" ref="J122" ca="1">_xll.RiskUniform(H122,I122)</f>
        <v>#NAME?</v>
      </c>
    </row>
    <row r="123" spans="2:10" x14ac:dyDescent="0.35">
      <c r="B123" s="66">
        <v>50</v>
      </c>
      <c r="C123" s="77">
        <v>0.5</v>
      </c>
      <c r="D123" s="77">
        <v>1</v>
      </c>
      <c r="E123" s="73" t="e" cm="1">
        <f t="array" aca="1" ref="E123" ca="1">_xll.RiskUniform(C123,D123)</f>
        <v>#NAME?</v>
      </c>
      <c r="G123" s="66">
        <v>19</v>
      </c>
      <c r="H123" s="72">
        <v>0.05</v>
      </c>
      <c r="I123" s="72">
        <v>0.2</v>
      </c>
      <c r="J123" s="73" t="e" cm="1">
        <f t="array" aca="1" ref="J123" ca="1">_xll.RiskUniform(H123,I123)</f>
        <v>#NAME?</v>
      </c>
    </row>
    <row r="124" spans="2:10" x14ac:dyDescent="0.35">
      <c r="B124" s="66">
        <v>51</v>
      </c>
      <c r="C124" s="77">
        <v>0.5</v>
      </c>
      <c r="D124" s="77">
        <v>1</v>
      </c>
      <c r="E124" s="73" t="e" cm="1">
        <f t="array" aca="1" ref="E124" ca="1">_xll.RiskUniform(C124,D124)</f>
        <v>#NAME?</v>
      </c>
      <c r="G124" s="66">
        <v>20</v>
      </c>
      <c r="H124" s="72">
        <v>0.1</v>
      </c>
      <c r="I124" s="72">
        <v>0.15</v>
      </c>
      <c r="J124" s="73" t="e" cm="1">
        <f t="array" aca="1" ref="J124" ca="1">_xll.RiskUniform(H124,I124)</f>
        <v>#NAME?</v>
      </c>
    </row>
    <row r="125" spans="2:10" x14ac:dyDescent="0.35">
      <c r="B125" s="66">
        <v>52</v>
      </c>
      <c r="C125" s="77">
        <v>0.5</v>
      </c>
      <c r="D125" s="77">
        <v>1</v>
      </c>
      <c r="E125" s="73" t="e" cm="1">
        <f t="array" aca="1" ref="E125" ca="1">_xll.RiskUniform(C125,D125)</f>
        <v>#NAME?</v>
      </c>
      <c r="G125" s="66">
        <v>21</v>
      </c>
      <c r="H125" s="72">
        <v>0.45</v>
      </c>
      <c r="I125" s="72">
        <v>0.55000000000000004</v>
      </c>
      <c r="J125" s="73" t="e" cm="1">
        <f t="array" aca="1" ref="J125" ca="1">_xll.RiskUniform(H125,I125)</f>
        <v>#NAME?</v>
      </c>
    </row>
    <row r="126" spans="2:10" x14ac:dyDescent="0.35">
      <c r="B126" s="66">
        <v>53</v>
      </c>
      <c r="C126" s="77">
        <v>0.6</v>
      </c>
      <c r="D126" s="77">
        <v>1</v>
      </c>
      <c r="E126" s="73" t="e" cm="1">
        <f t="array" aca="1" ref="E126" ca="1">_xll.RiskUniform(C126,D126)</f>
        <v>#NAME?</v>
      </c>
      <c r="G126" s="66">
        <v>22</v>
      </c>
      <c r="H126" s="72">
        <v>0.25</v>
      </c>
      <c r="I126" s="72">
        <v>0.5</v>
      </c>
      <c r="J126" s="73" t="e" cm="1">
        <f t="array" aca="1" ref="J126" ca="1">_xll.RiskUniform(H126,I126)</f>
        <v>#NAME?</v>
      </c>
    </row>
    <row r="127" spans="2:10" x14ac:dyDescent="0.35">
      <c r="B127" s="66">
        <v>54</v>
      </c>
      <c r="C127" s="77">
        <v>0.5</v>
      </c>
      <c r="D127" s="77">
        <v>1</v>
      </c>
      <c r="E127" s="73" t="e" cm="1">
        <f t="array" aca="1" ref="E127" ca="1">_xll.RiskUniform(C127,D127)</f>
        <v>#NAME?</v>
      </c>
      <c r="G127" s="66">
        <v>23</v>
      </c>
      <c r="H127" s="72">
        <v>0.5</v>
      </c>
      <c r="I127" s="72">
        <v>0.75</v>
      </c>
      <c r="J127" s="73" t="e" cm="1">
        <f t="array" aca="1" ref="J127" ca="1">_xll.RiskUniform(H127,I127)</f>
        <v>#NAME?</v>
      </c>
    </row>
    <row r="128" spans="2:10" x14ac:dyDescent="0.35">
      <c r="B128" s="66">
        <v>55</v>
      </c>
      <c r="C128" s="77">
        <v>0.25</v>
      </c>
      <c r="D128" s="77">
        <v>0.5</v>
      </c>
      <c r="E128" s="73" t="e" cm="1">
        <f t="array" aca="1" ref="E128" ca="1">_xll.RiskUniform(C128,D128)</f>
        <v>#NAME?</v>
      </c>
      <c r="G128" s="66">
        <v>24</v>
      </c>
      <c r="H128" s="72">
        <v>0.25</v>
      </c>
      <c r="I128" s="72">
        <v>0.5</v>
      </c>
      <c r="J128" s="73" t="e" cm="1">
        <f t="array" aca="1" ref="J128" ca="1">_xll.RiskUniform(H128,I128)</f>
        <v>#NAME?</v>
      </c>
    </row>
    <row r="129" spans="2:10" x14ac:dyDescent="0.35">
      <c r="B129" s="66">
        <v>56</v>
      </c>
      <c r="C129" s="77">
        <v>0.5</v>
      </c>
      <c r="D129" s="77">
        <v>1</v>
      </c>
      <c r="E129" s="73" t="e" cm="1">
        <f t="array" aca="1" ref="E129" ca="1">_xll.RiskUniform(C129,D129)</f>
        <v>#NAME?</v>
      </c>
      <c r="G129" s="66">
        <v>25</v>
      </c>
      <c r="H129" s="72">
        <v>0.25</v>
      </c>
      <c r="I129" s="72">
        <v>0.5</v>
      </c>
      <c r="J129" s="73" t="e" cm="1">
        <f t="array" aca="1" ref="J129" ca="1">_xll.RiskUniform(H129,I129)</f>
        <v>#NAME?</v>
      </c>
    </row>
    <row r="130" spans="2:10" x14ac:dyDescent="0.35">
      <c r="B130" s="66">
        <v>57</v>
      </c>
      <c r="C130" s="77">
        <v>0.25</v>
      </c>
      <c r="D130" s="77">
        <v>0.5</v>
      </c>
      <c r="E130" s="73" t="e" cm="1">
        <f t="array" aca="1" ref="E130" ca="1">_xll.RiskUniform(C130,D130)</f>
        <v>#NAME?</v>
      </c>
      <c r="G130" s="66">
        <v>26</v>
      </c>
      <c r="H130" s="72">
        <v>0.5</v>
      </c>
      <c r="I130" s="72">
        <v>0.75</v>
      </c>
      <c r="J130" s="73" t="e" cm="1">
        <f t="array" aca="1" ref="J130" ca="1">_xll.RiskUniform(H130,I130)</f>
        <v>#NAME?</v>
      </c>
    </row>
    <row r="131" spans="2:10" x14ac:dyDescent="0.35">
      <c r="B131" s="66">
        <v>58</v>
      </c>
      <c r="C131" s="77">
        <v>0.5</v>
      </c>
      <c r="D131" s="77">
        <v>1</v>
      </c>
      <c r="E131" s="73" t="e" cm="1">
        <f t="array" aca="1" ref="E131" ca="1">_xll.RiskUniform(C131,D131)</f>
        <v>#NAME?</v>
      </c>
      <c r="G131" s="66">
        <v>27</v>
      </c>
      <c r="H131" s="72">
        <v>0.1</v>
      </c>
      <c r="I131" s="72">
        <v>0.23</v>
      </c>
      <c r="J131" s="73" t="e" cm="1">
        <f t="array" aca="1" ref="J131" ca="1">_xll.RiskUniform(H131,I131)</f>
        <v>#NAME?</v>
      </c>
    </row>
    <row r="132" spans="2:10" x14ac:dyDescent="0.35">
      <c r="B132" s="66">
        <v>59</v>
      </c>
      <c r="C132" s="77">
        <v>0.5</v>
      </c>
      <c r="D132" s="77">
        <v>1</v>
      </c>
      <c r="E132" s="73" t="e" cm="1">
        <f t="array" aca="1" ref="E132" ca="1">_xll.RiskUniform(C132,D132)</f>
        <v>#NAME?</v>
      </c>
      <c r="G132" s="66">
        <v>28</v>
      </c>
      <c r="H132" s="72">
        <v>0.01</v>
      </c>
      <c r="I132" s="72">
        <v>0.13</v>
      </c>
      <c r="J132" s="73" t="e" cm="1">
        <f t="array" aca="1" ref="J132" ca="1">_xll.RiskUniform(H132,I132)</f>
        <v>#NAME?</v>
      </c>
    </row>
    <row r="133" spans="2:10" x14ac:dyDescent="0.35">
      <c r="B133" s="66">
        <v>60</v>
      </c>
      <c r="C133" s="77">
        <v>0.25</v>
      </c>
      <c r="D133" s="77">
        <v>0.5</v>
      </c>
      <c r="E133" s="73" t="e" cm="1">
        <f t="array" aca="1" ref="E133" ca="1">_xll.RiskUniform(C133,D133)</f>
        <v>#NAME?</v>
      </c>
      <c r="G133" s="66">
        <v>29</v>
      </c>
      <c r="H133" s="72">
        <v>0.25</v>
      </c>
      <c r="I133" s="72">
        <v>0.5</v>
      </c>
      <c r="J133" s="73" t="e" cm="1">
        <f t="array" aca="1" ref="J133" ca="1">_xll.RiskUniform(H133,I133)</f>
        <v>#NAME?</v>
      </c>
    </row>
    <row r="134" spans="2:10" x14ac:dyDescent="0.35">
      <c r="B134" s="66">
        <v>61</v>
      </c>
      <c r="C134" s="77">
        <v>0.5</v>
      </c>
      <c r="D134" s="77">
        <v>1</v>
      </c>
      <c r="E134" s="73" t="e" cm="1">
        <f t="array" aca="1" ref="E134" ca="1">_xll.RiskUniform(C134,D134)</f>
        <v>#NAME?</v>
      </c>
      <c r="G134" s="66">
        <v>30</v>
      </c>
      <c r="H134" s="72">
        <v>0.6</v>
      </c>
      <c r="I134" s="72">
        <v>0.7</v>
      </c>
      <c r="J134" s="73" t="e" cm="1">
        <f t="array" aca="1" ref="J134" ca="1">_xll.RiskUniform(H134,I134)</f>
        <v>#NAME?</v>
      </c>
    </row>
    <row r="135" spans="2:10" x14ac:dyDescent="0.35">
      <c r="B135" s="66">
        <v>62</v>
      </c>
      <c r="C135" s="77">
        <v>0.5</v>
      </c>
      <c r="D135" s="77">
        <v>1</v>
      </c>
      <c r="E135" s="73" t="e" cm="1">
        <f t="array" aca="1" ref="E135" ca="1">_xll.RiskUniform(C135,D135)</f>
        <v>#NAME?</v>
      </c>
      <c r="G135" s="66">
        <v>31</v>
      </c>
      <c r="H135" s="72">
        <v>0.25</v>
      </c>
      <c r="I135" s="72">
        <v>0.5</v>
      </c>
      <c r="J135" s="73" t="e" cm="1">
        <f t="array" aca="1" ref="J135" ca="1">_xll.RiskUniform(H135,I135)</f>
        <v>#NAME?</v>
      </c>
    </row>
    <row r="136" spans="2:10" x14ac:dyDescent="0.35">
      <c r="B136" s="66">
        <v>63</v>
      </c>
      <c r="C136" s="77">
        <v>0.5</v>
      </c>
      <c r="D136" s="77">
        <v>1</v>
      </c>
      <c r="E136" s="73" t="e" cm="1">
        <f t="array" aca="1" ref="E136" ca="1">_xll.RiskUniform(C136,D136)</f>
        <v>#NAME?</v>
      </c>
      <c r="G136" s="66">
        <v>32</v>
      </c>
      <c r="H136" s="72">
        <v>0.25</v>
      </c>
      <c r="I136" s="72">
        <v>0.5</v>
      </c>
      <c r="J136" s="73" t="e" cm="1">
        <f t="array" aca="1" ref="J136" ca="1">_xll.RiskUniform(H136,I136)</f>
        <v>#NAME?</v>
      </c>
    </row>
    <row r="137" spans="2:10" x14ac:dyDescent="0.35">
      <c r="B137" s="66">
        <v>64</v>
      </c>
      <c r="C137" s="77">
        <v>0.5</v>
      </c>
      <c r="D137" s="77">
        <v>1</v>
      </c>
      <c r="E137" s="73" t="e" cm="1">
        <f t="array" aca="1" ref="E137" ca="1">_xll.RiskUniform(C137,D137)</f>
        <v>#NAME?</v>
      </c>
      <c r="G137" s="66">
        <v>33</v>
      </c>
      <c r="H137" s="72">
        <v>0.25</v>
      </c>
      <c r="I137" s="72">
        <v>0.5</v>
      </c>
      <c r="J137" s="73" t="e" cm="1">
        <f t="array" aca="1" ref="J137" ca="1">_xll.RiskUniform(H137,I137)</f>
        <v>#NAME?</v>
      </c>
    </row>
    <row r="138" spans="2:10" x14ac:dyDescent="0.35">
      <c r="B138" s="66">
        <v>65</v>
      </c>
      <c r="C138" s="77">
        <v>0.25</v>
      </c>
      <c r="D138" s="77">
        <v>0.5</v>
      </c>
      <c r="E138" s="73" t="e" cm="1">
        <f t="array" aca="1" ref="E138" ca="1">_xll.RiskUniform(C138,D138)</f>
        <v>#NAME?</v>
      </c>
      <c r="G138" s="66">
        <v>34</v>
      </c>
      <c r="H138" s="72">
        <v>0.15</v>
      </c>
      <c r="I138" s="72">
        <v>0.3</v>
      </c>
      <c r="J138" s="73" t="e" cm="1">
        <f t="array" aca="1" ref="J138" ca="1">_xll.RiskUniform(H138,I138)</f>
        <v>#NAME?</v>
      </c>
    </row>
    <row r="139" spans="2:10" x14ac:dyDescent="0.35">
      <c r="B139" s="66">
        <v>66</v>
      </c>
      <c r="C139" s="77">
        <v>2.5000000000000001E-2</v>
      </c>
      <c r="D139" s="77">
        <v>0.05</v>
      </c>
      <c r="E139" s="73" t="e" cm="1">
        <f t="array" aca="1" ref="E139" ca="1">_xll.RiskUniform(C139,D139)</f>
        <v>#NAME?</v>
      </c>
      <c r="G139" s="66">
        <v>35</v>
      </c>
      <c r="H139" s="72">
        <v>0.25</v>
      </c>
      <c r="I139" s="72">
        <v>0.5</v>
      </c>
      <c r="J139" s="73" t="e" cm="1">
        <f t="array" aca="1" ref="J139" ca="1">_xll.RiskUniform(H139,I139)</f>
        <v>#NAME?</v>
      </c>
    </row>
    <row r="140" spans="2:10" x14ac:dyDescent="0.35">
      <c r="B140" s="66">
        <v>67</v>
      </c>
      <c r="C140" s="77">
        <v>0.5</v>
      </c>
      <c r="D140" s="77">
        <v>1</v>
      </c>
      <c r="E140" s="73" t="e" cm="1">
        <f t="array" aca="1" ref="E140" ca="1">_xll.RiskUniform(C140,D140)</f>
        <v>#NAME?</v>
      </c>
      <c r="G140" s="66">
        <v>36</v>
      </c>
      <c r="H140" s="72">
        <v>0.1</v>
      </c>
      <c r="I140" s="72">
        <v>0.25</v>
      </c>
      <c r="J140" s="73" t="e" cm="1">
        <f t="array" aca="1" ref="J140" ca="1">_xll.RiskUniform(H140,I140)</f>
        <v>#NAME?</v>
      </c>
    </row>
    <row r="141" spans="2:10" x14ac:dyDescent="0.35">
      <c r="B141" s="66">
        <v>68</v>
      </c>
      <c r="C141" s="77">
        <v>0.85</v>
      </c>
      <c r="D141" s="77">
        <v>1</v>
      </c>
      <c r="E141" s="73" t="e" cm="1">
        <f t="array" aca="1" ref="E141" ca="1">_xll.RiskUniform(C141,D141)</f>
        <v>#NAME?</v>
      </c>
      <c r="G141" s="66">
        <v>37</v>
      </c>
      <c r="H141" s="72">
        <v>0.1</v>
      </c>
      <c r="I141" s="72">
        <v>0.5</v>
      </c>
      <c r="J141" s="73" t="e" cm="1">
        <f t="array" aca="1" ref="J141" ca="1">_xll.RiskUniform(H141,I141)</f>
        <v>#NAME?</v>
      </c>
    </row>
    <row r="142" spans="2:10" x14ac:dyDescent="0.35">
      <c r="G142" s="66">
        <v>38</v>
      </c>
      <c r="H142" s="72">
        <v>0.01</v>
      </c>
      <c r="I142" s="72">
        <v>0.1</v>
      </c>
      <c r="J142" s="73" t="e" cm="1">
        <f t="array" aca="1" ref="J142" ca="1">_xll.RiskUniform(H142,I142)</f>
        <v>#NAME?</v>
      </c>
    </row>
    <row r="143" spans="2:10" x14ac:dyDescent="0.35">
      <c r="G143" s="66">
        <v>39</v>
      </c>
      <c r="H143" s="72">
        <v>0.5</v>
      </c>
      <c r="I143" s="72">
        <v>0.75</v>
      </c>
      <c r="J143" s="73" t="e" cm="1">
        <f t="array" aca="1" ref="J143" ca="1">_xll.RiskUniform(H143,I143)</f>
        <v>#NAME?</v>
      </c>
    </row>
    <row r="144" spans="2:10" x14ac:dyDescent="0.35">
      <c r="G144" s="66">
        <v>40</v>
      </c>
      <c r="H144" s="72">
        <v>0.6</v>
      </c>
      <c r="I144" s="72">
        <v>0.7</v>
      </c>
      <c r="J144" s="73" t="e" cm="1">
        <f t="array" aca="1" ref="J144" ca="1">_xll.RiskUniform(H144,I144)</f>
        <v>#NAME?</v>
      </c>
    </row>
    <row r="145" spans="7:10" x14ac:dyDescent="0.35">
      <c r="G145" s="66">
        <v>41</v>
      </c>
      <c r="H145" s="72">
        <v>0.4</v>
      </c>
      <c r="I145" s="72">
        <v>0.5</v>
      </c>
      <c r="J145" s="73" t="e" cm="1">
        <f t="array" aca="1" ref="J145" ca="1">_xll.RiskUniform(H145,I145)</f>
        <v>#NAME?</v>
      </c>
    </row>
    <row r="146" spans="7:10" x14ac:dyDescent="0.35">
      <c r="G146" s="66">
        <v>42</v>
      </c>
      <c r="H146" s="72">
        <v>0.6</v>
      </c>
      <c r="I146" s="72">
        <v>0.7</v>
      </c>
      <c r="J146" s="73" t="e" cm="1">
        <f t="array" aca="1" ref="J146" ca="1">_xll.RiskUniform(H146,I146)</f>
        <v>#NAME?</v>
      </c>
    </row>
    <row r="147" spans="7:10" x14ac:dyDescent="0.35">
      <c r="G147" s="66">
        <v>43</v>
      </c>
      <c r="H147" s="72">
        <v>0.6</v>
      </c>
      <c r="I147" s="72">
        <v>0.7</v>
      </c>
      <c r="J147" s="73" t="e" cm="1">
        <f t="array" aca="1" ref="J147" ca="1">_xll.RiskUniform(H147,I147)</f>
        <v>#NAME?</v>
      </c>
    </row>
    <row r="148" spans="7:10" x14ac:dyDescent="0.35">
      <c r="G148" s="66">
        <v>44</v>
      </c>
      <c r="H148" s="72">
        <v>0.1</v>
      </c>
      <c r="I148" s="72">
        <v>0.2</v>
      </c>
      <c r="J148" s="73" t="e" cm="1">
        <f t="array" aca="1" ref="J148" ca="1">_xll.RiskUniform(H148,I148)</f>
        <v>#NAME?</v>
      </c>
    </row>
    <row r="149" spans="7:10" x14ac:dyDescent="0.35">
      <c r="G149" s="66">
        <v>45</v>
      </c>
      <c r="H149" s="72">
        <v>0.6</v>
      </c>
      <c r="I149" s="72">
        <v>0.7</v>
      </c>
      <c r="J149" s="73" t="e" cm="1">
        <f t="array" aca="1" ref="J149" ca="1">_xll.RiskUniform(H149,I149)</f>
        <v>#NAME?</v>
      </c>
    </row>
    <row r="150" spans="7:10" x14ac:dyDescent="0.35">
      <c r="G150" s="66">
        <v>46</v>
      </c>
      <c r="H150" s="72">
        <v>0.01</v>
      </c>
      <c r="I150" s="72">
        <v>0.05</v>
      </c>
      <c r="J150" s="73" t="e" cm="1">
        <f t="array" aca="1" ref="J150" ca="1">_xll.RiskUniform(H150,I150)</f>
        <v>#NAME?</v>
      </c>
    </row>
    <row r="151" spans="7:10" x14ac:dyDescent="0.35">
      <c r="G151" s="66">
        <v>47</v>
      </c>
      <c r="H151" s="72">
        <v>0.8</v>
      </c>
      <c r="I151" s="72">
        <v>0.9</v>
      </c>
      <c r="J151" s="73" t="e" cm="1">
        <f t="array" aca="1" ref="J151" ca="1">_xll.RiskUniform(H151,I151)</f>
        <v>#NAME?</v>
      </c>
    </row>
    <row r="152" spans="7:10" x14ac:dyDescent="0.35">
      <c r="G152" s="66">
        <v>48</v>
      </c>
      <c r="H152" s="72">
        <v>0.6</v>
      </c>
      <c r="I152" s="72">
        <v>0.7</v>
      </c>
      <c r="J152" s="73" t="e" cm="1">
        <f t="array" aca="1" ref="J152" ca="1">_xll.RiskUniform(H152,I152)</f>
        <v>#NAME?</v>
      </c>
    </row>
    <row r="153" spans="7:10" x14ac:dyDescent="0.35">
      <c r="G153" s="66">
        <v>49</v>
      </c>
      <c r="H153" s="72">
        <v>0.35</v>
      </c>
      <c r="I153" s="72">
        <v>0.45</v>
      </c>
      <c r="J153" s="73" t="e" cm="1">
        <f t="array" aca="1" ref="J153" ca="1">_xll.RiskUniform(H153,I153)</f>
        <v>#NAME?</v>
      </c>
    </row>
    <row r="154" spans="7:10" x14ac:dyDescent="0.35">
      <c r="G154" s="66">
        <v>50</v>
      </c>
      <c r="H154" s="72">
        <v>7.0000000000000007E-2</v>
      </c>
      <c r="I154" s="72">
        <v>0.13</v>
      </c>
      <c r="J154" s="73" t="e" cm="1">
        <f t="array" aca="1" ref="J154" ca="1">_xll.RiskUniform(H154,I154)</f>
        <v>#NAME?</v>
      </c>
    </row>
    <row r="155" spans="7:10" x14ac:dyDescent="0.35">
      <c r="G155" s="66">
        <v>51</v>
      </c>
      <c r="H155" s="72">
        <v>0.3</v>
      </c>
      <c r="I155" s="72">
        <v>0.4</v>
      </c>
      <c r="J155" s="73" t="e" cm="1">
        <f t="array" aca="1" ref="J155" ca="1">_xll.RiskUniform(H155,I155)</f>
        <v>#NAME?</v>
      </c>
    </row>
    <row r="156" spans="7:10" x14ac:dyDescent="0.35">
      <c r="G156" s="66">
        <v>52</v>
      </c>
      <c r="H156" s="72">
        <v>0.5</v>
      </c>
      <c r="I156" s="72">
        <v>0.6</v>
      </c>
      <c r="J156" s="73" t="e" cm="1">
        <f t="array" aca="1" ref="J156" ca="1">_xll.RiskUniform(H156,I156)</f>
        <v>#NAME?</v>
      </c>
    </row>
    <row r="157" spans="7:10" x14ac:dyDescent="0.35">
      <c r="G157" s="66">
        <v>53</v>
      </c>
      <c r="H157" s="72">
        <v>0.57999999999999996</v>
      </c>
      <c r="I157" s="72">
        <v>0.57999999999999996</v>
      </c>
      <c r="J157" s="73" t="e" cm="1">
        <f t="array" aca="1" ref="J157" ca="1">_xll.RiskUniform(H157,I157)</f>
        <v>#NAME?</v>
      </c>
    </row>
    <row r="158" spans="7:10" x14ac:dyDescent="0.35">
      <c r="G158" s="66">
        <v>54</v>
      </c>
      <c r="H158" s="72">
        <v>7.0000000000000007E-2</v>
      </c>
      <c r="I158" s="72">
        <v>0.13</v>
      </c>
      <c r="J158" s="73" t="e" cm="1">
        <f t="array" aca="1" ref="J158" ca="1">_xll.RiskUniform(H158,I158)</f>
        <v>#NAME?</v>
      </c>
    </row>
    <row r="159" spans="7:10" x14ac:dyDescent="0.35">
      <c r="G159" s="66">
        <v>55</v>
      </c>
      <c r="H159" s="72">
        <v>0.35</v>
      </c>
      <c r="I159" s="72">
        <v>0.45</v>
      </c>
      <c r="J159" s="73" t="e" cm="1">
        <f t="array" aca="1" ref="J159" ca="1">_xll.RiskUniform(H159,I159)</f>
        <v>#NAME?</v>
      </c>
    </row>
    <row r="160" spans="7:10" x14ac:dyDescent="0.35">
      <c r="G160" s="66">
        <v>56</v>
      </c>
      <c r="H160" s="72">
        <v>0.35</v>
      </c>
      <c r="I160" s="72">
        <v>0.45</v>
      </c>
      <c r="J160" s="73" t="e" cm="1">
        <f t="array" aca="1" ref="J160" ca="1">_xll.RiskUniform(H160,I160)</f>
        <v>#NAME?</v>
      </c>
    </row>
    <row r="161" spans="7:10" x14ac:dyDescent="0.35">
      <c r="G161" s="66">
        <v>57</v>
      </c>
      <c r="H161" s="72">
        <v>0.05</v>
      </c>
      <c r="I161" s="72">
        <v>0.1</v>
      </c>
      <c r="J161" s="73" t="e" cm="1">
        <f t="array" aca="1" ref="J161" ca="1">_xll.RiskUniform(H161,I161)</f>
        <v>#NAME?</v>
      </c>
    </row>
    <row r="162" spans="7:10" x14ac:dyDescent="0.35">
      <c r="G162" s="66">
        <v>58</v>
      </c>
      <c r="H162" s="72">
        <v>0.38</v>
      </c>
      <c r="I162" s="72">
        <v>0.52</v>
      </c>
      <c r="J162" s="73" t="e" cm="1">
        <f t="array" aca="1" ref="J162" ca="1">_xll.RiskUniform(H162,I162)</f>
        <v>#NAME?</v>
      </c>
    </row>
    <row r="163" spans="7:10" x14ac:dyDescent="0.35">
      <c r="G163" s="66">
        <v>59</v>
      </c>
      <c r="H163" s="72">
        <v>0.53</v>
      </c>
      <c r="I163" s="72">
        <v>0.56000000000000005</v>
      </c>
      <c r="J163" s="73" t="e" cm="1">
        <f t="array" aca="1" ref="J163" ca="1">_xll.RiskUniform(H163,I163)</f>
        <v>#NAME?</v>
      </c>
    </row>
    <row r="164" spans="7:10" x14ac:dyDescent="0.35">
      <c r="G164" s="66">
        <v>60</v>
      </c>
      <c r="H164" s="72">
        <v>0.68</v>
      </c>
      <c r="I164" s="72">
        <v>0.74</v>
      </c>
      <c r="J164" s="73" t="e" cm="1">
        <f t="array" aca="1" ref="J164" ca="1">_xll.RiskUniform(H164,I164)</f>
        <v>#NAME?</v>
      </c>
    </row>
    <row r="165" spans="7:10" x14ac:dyDescent="0.35">
      <c r="G165" s="66">
        <v>61</v>
      </c>
      <c r="H165" s="72">
        <v>0.2</v>
      </c>
      <c r="I165" s="72">
        <v>0.4</v>
      </c>
      <c r="J165" s="73" t="e" cm="1">
        <f t="array" aca="1" ref="J165" ca="1">_xll.RiskUniform(H165,I165)</f>
        <v>#NAME?</v>
      </c>
    </row>
    <row r="166" spans="7:10" x14ac:dyDescent="0.35">
      <c r="G166" s="66">
        <v>62</v>
      </c>
      <c r="H166" s="72">
        <v>0.38</v>
      </c>
      <c r="I166" s="72">
        <v>0.42</v>
      </c>
      <c r="J166" s="73" t="e" cm="1">
        <f t="array" aca="1" ref="J166" ca="1">_xll.RiskUniform(H166,I166)</f>
        <v>#NAME?</v>
      </c>
    </row>
    <row r="167" spans="7:10" x14ac:dyDescent="0.35">
      <c r="G167" s="66">
        <v>63</v>
      </c>
      <c r="H167" s="72">
        <v>0.42</v>
      </c>
      <c r="I167" s="72">
        <v>0.52</v>
      </c>
      <c r="J167" s="73" t="e" cm="1">
        <f t="array" aca="1" ref="J167" ca="1">_xll.RiskUniform(H167,I167)</f>
        <v>#NAME?</v>
      </c>
    </row>
    <row r="168" spans="7:10" x14ac:dyDescent="0.35">
      <c r="G168" s="66">
        <v>64</v>
      </c>
      <c r="H168" s="72">
        <v>0.65</v>
      </c>
      <c r="I168" s="72">
        <v>0.7</v>
      </c>
      <c r="J168" s="73" t="e" cm="1">
        <f t="array" aca="1" ref="J168" ca="1">_xll.RiskUniform(H168,I168)</f>
        <v>#NAME?</v>
      </c>
    </row>
    <row r="169" spans="7:10" x14ac:dyDescent="0.35">
      <c r="G169" s="66">
        <v>65</v>
      </c>
      <c r="H169" s="72">
        <v>0.42</v>
      </c>
      <c r="I169" s="72">
        <v>0.48</v>
      </c>
      <c r="J169" s="73" t="e" cm="1">
        <f t="array" aca="1" ref="J169" ca="1">_xll.RiskUniform(H169,I169)</f>
        <v>#NAME?</v>
      </c>
    </row>
    <row r="170" spans="7:10" x14ac:dyDescent="0.35">
      <c r="G170" s="66">
        <v>66</v>
      </c>
      <c r="H170" s="72">
        <v>0.5</v>
      </c>
      <c r="I170" s="72">
        <v>0.6</v>
      </c>
      <c r="J170" s="73" t="e" cm="1">
        <f t="array" aca="1" ref="J170" ca="1">_xll.RiskUniform(H170,I170)</f>
        <v>#NAME?</v>
      </c>
    </row>
    <row r="171" spans="7:10" x14ac:dyDescent="0.35">
      <c r="G171" s="66">
        <v>67</v>
      </c>
      <c r="H171" s="72">
        <v>0.3</v>
      </c>
      <c r="I171" s="72">
        <v>0.35</v>
      </c>
      <c r="J171" s="73" t="e" cm="1">
        <f t="array" aca="1" ref="J171" ca="1">_xll.RiskUniform(H171,I171)</f>
        <v>#NAME?</v>
      </c>
    </row>
    <row r="172" spans="7:10" x14ac:dyDescent="0.35">
      <c r="G172" s="66">
        <v>68</v>
      </c>
      <c r="H172" s="72">
        <v>0.33</v>
      </c>
      <c r="I172" s="72">
        <v>0.37</v>
      </c>
      <c r="J172" s="73" t="e" cm="1">
        <f t="array" aca="1" ref="J172" ca="1">_xll.RiskUniform(H172,I172)</f>
        <v>#NAME?</v>
      </c>
    </row>
    <row r="173" spans="7:10" x14ac:dyDescent="0.35">
      <c r="G173" s="66">
        <v>69</v>
      </c>
      <c r="H173" s="72">
        <v>0.4</v>
      </c>
      <c r="I173" s="72">
        <v>0.6</v>
      </c>
      <c r="J173" s="73" t="e" cm="1">
        <f t="array" aca="1" ref="J173" ca="1">_xll.RiskUniform(H173,I173)</f>
        <v>#NAME?</v>
      </c>
    </row>
    <row r="174" spans="7:10" x14ac:dyDescent="0.35">
      <c r="G174" s="66">
        <v>70</v>
      </c>
      <c r="H174" s="72">
        <v>0.3</v>
      </c>
      <c r="I174" s="72">
        <v>0.4</v>
      </c>
      <c r="J174" s="73" t="e" cm="1">
        <f t="array" aca="1" ref="J174" ca="1">_xll.RiskUniform(H174,I174)</f>
        <v>#NAME?</v>
      </c>
    </row>
    <row r="175" spans="7:10" x14ac:dyDescent="0.35">
      <c r="G175" s="66">
        <v>71</v>
      </c>
      <c r="H175" s="72">
        <v>0.7</v>
      </c>
      <c r="I175" s="72">
        <v>0.8</v>
      </c>
      <c r="J175" s="73" t="e" cm="1">
        <f t="array" aca="1" ref="J175" ca="1">_xll.RiskUniform(H175,I175)</f>
        <v>#NAME?</v>
      </c>
    </row>
    <row r="176" spans="7:10" x14ac:dyDescent="0.35">
      <c r="G176" s="66">
        <v>72</v>
      </c>
      <c r="H176" s="72">
        <v>0.83</v>
      </c>
      <c r="I176" s="72">
        <v>0.95</v>
      </c>
      <c r="J176" s="73" t="e" cm="1">
        <f t="array" aca="1" ref="J176" ca="1">_xll.RiskUniform(H176,I176)</f>
        <v>#NAME?</v>
      </c>
    </row>
    <row r="177" spans="7:10" x14ac:dyDescent="0.35">
      <c r="G177" s="66">
        <v>73</v>
      </c>
      <c r="H177" s="72">
        <v>0.55000000000000004</v>
      </c>
      <c r="I177" s="72">
        <v>0.65</v>
      </c>
      <c r="J177" s="73" t="e" cm="1">
        <f t="array" aca="1" ref="J177" ca="1">_xll.RiskUniform(H177,I177)</f>
        <v>#NAME?</v>
      </c>
    </row>
    <row r="178" spans="7:10" x14ac:dyDescent="0.35">
      <c r="G178" s="66">
        <v>74</v>
      </c>
      <c r="H178" s="72">
        <v>0.88</v>
      </c>
      <c r="I178" s="72">
        <v>0.92</v>
      </c>
      <c r="J178" s="73" t="e" cm="1">
        <f t="array" aca="1" ref="J178" ca="1">_xll.RiskUniform(H178,I178)</f>
        <v>#NAME?</v>
      </c>
    </row>
    <row r="179" spans="7:10" x14ac:dyDescent="0.35">
      <c r="G179" s="66">
        <v>75</v>
      </c>
      <c r="H179" s="72">
        <v>0.01</v>
      </c>
      <c r="I179" s="72">
        <v>0.45</v>
      </c>
      <c r="J179" s="73" t="e" cm="1">
        <f t="array" aca="1" ref="J179" ca="1">_xll.RiskUniform(H179,I179)</f>
        <v>#NAME?</v>
      </c>
    </row>
    <row r="180" spans="7:10" x14ac:dyDescent="0.35">
      <c r="G180" s="66">
        <v>76</v>
      </c>
      <c r="H180" s="72">
        <v>0.01</v>
      </c>
      <c r="I180" s="72">
        <v>0.45</v>
      </c>
      <c r="J180" s="73" t="e" cm="1">
        <f t="array" aca="1" ref="J180" ca="1">_xll.RiskUniform(H180,I180)</f>
        <v>#NAME?</v>
      </c>
    </row>
    <row r="181" spans="7:10" x14ac:dyDescent="0.35">
      <c r="G181" s="66">
        <v>77</v>
      </c>
      <c r="H181" s="72">
        <v>0.01</v>
      </c>
      <c r="I181" s="72">
        <v>0.45</v>
      </c>
      <c r="J181" s="73" t="e" cm="1">
        <f t="array" aca="1" ref="J181" ca="1">_xll.RiskUniform(H181,I181)</f>
        <v>#NAME?</v>
      </c>
    </row>
    <row r="182" spans="7:10" x14ac:dyDescent="0.35">
      <c r="G182" s="66">
        <v>78</v>
      </c>
      <c r="H182" s="72">
        <v>0.01</v>
      </c>
      <c r="I182" s="72">
        <v>0.4</v>
      </c>
      <c r="J182" s="73" t="e" cm="1">
        <f t="array" aca="1" ref="J182" ca="1">_xll.RiskUniform(H182,I182)</f>
        <v>#NAME?</v>
      </c>
    </row>
    <row r="183" spans="7:10" x14ac:dyDescent="0.35">
      <c r="G183" s="66">
        <v>79</v>
      </c>
      <c r="H183" s="72">
        <v>0.01</v>
      </c>
      <c r="I183" s="72">
        <v>0.6</v>
      </c>
      <c r="J183" s="73" t="e" cm="1">
        <f t="array" aca="1" ref="J183" ca="1">_xll.RiskUniform(H183,I183)</f>
        <v>#NAME?</v>
      </c>
    </row>
    <row r="184" spans="7:10" x14ac:dyDescent="0.35">
      <c r="G184" s="66">
        <v>80</v>
      </c>
      <c r="H184" s="72">
        <v>0.01</v>
      </c>
      <c r="I184" s="72">
        <v>0.6</v>
      </c>
      <c r="J184" s="73" t="e" cm="1">
        <f t="array" aca="1" ref="J184" ca="1">_xll.RiskUniform(H184,I184)</f>
        <v>#NAME?</v>
      </c>
    </row>
    <row r="185" spans="7:10" x14ac:dyDescent="0.35">
      <c r="G185" s="66">
        <v>81</v>
      </c>
      <c r="H185" s="72">
        <v>0.28999999999999998</v>
      </c>
      <c r="I185" s="72">
        <v>0.28999999999999998</v>
      </c>
      <c r="J185" s="73" t="e" cm="1">
        <f t="array" aca="1" ref="J185" ca="1">_xll.RiskUniform(H185,I185)</f>
        <v>#NAME?</v>
      </c>
    </row>
    <row r="186" spans="7:10" x14ac:dyDescent="0.35">
      <c r="G186" s="66">
        <v>82</v>
      </c>
      <c r="H186" s="72">
        <v>0.01</v>
      </c>
      <c r="I186" s="72">
        <v>0.5</v>
      </c>
      <c r="J186" s="73" t="e" cm="1">
        <f t="array" aca="1" ref="J186" ca="1">_xll.RiskUniform(H186,I186)</f>
        <v>#NAME?</v>
      </c>
    </row>
    <row r="187" spans="7:10" x14ac:dyDescent="0.35">
      <c r="G187" s="66">
        <v>83</v>
      </c>
      <c r="H187" s="72">
        <v>0.01</v>
      </c>
      <c r="I187" s="72">
        <v>0.5</v>
      </c>
      <c r="J187" s="73" t="e" cm="1">
        <f t="array" aca="1" ref="J187" ca="1">_xll.RiskUniform(H187,I187)</f>
        <v>#NAME?</v>
      </c>
    </row>
    <row r="188" spans="7:10" x14ac:dyDescent="0.35">
      <c r="G188" s="66">
        <v>84</v>
      </c>
      <c r="H188" s="72">
        <v>0.01</v>
      </c>
      <c r="I188" s="72">
        <v>0.5</v>
      </c>
      <c r="J188" s="73" t="e" cm="1">
        <f t="array" aca="1" ref="J188" ca="1">_xll.RiskUniform(H188,I188)</f>
        <v>#NAME?</v>
      </c>
    </row>
    <row r="189" spans="7:10" x14ac:dyDescent="0.35">
      <c r="G189" s="66">
        <v>85</v>
      </c>
      <c r="H189" s="72">
        <v>0.6</v>
      </c>
      <c r="I189" s="72">
        <v>0.8</v>
      </c>
      <c r="J189" s="73" t="e" cm="1">
        <f t="array" aca="1" ref="J189" ca="1">_xll.RiskUniform(H189,I189)</f>
        <v>#NAME?</v>
      </c>
    </row>
    <row r="190" spans="7:10" x14ac:dyDescent="0.35">
      <c r="G190" s="66">
        <v>86</v>
      </c>
      <c r="H190" s="72">
        <v>0.2</v>
      </c>
      <c r="I190" s="72">
        <v>0.3</v>
      </c>
      <c r="J190" s="73" t="e" cm="1">
        <f t="array" aca="1" ref="J190" ca="1">_xll.RiskUniform(H190,I190)</f>
        <v>#NAME?</v>
      </c>
    </row>
    <row r="191" spans="7:10" x14ac:dyDescent="0.35">
      <c r="G191" s="66">
        <v>87</v>
      </c>
      <c r="H191" s="72">
        <v>0.5</v>
      </c>
      <c r="I191" s="72">
        <v>0.75</v>
      </c>
      <c r="J191" s="73" t="e" cm="1">
        <f t="array" aca="1" ref="J191" ca="1">_xll.RiskUniform(H191,I191)</f>
        <v>#NAME?</v>
      </c>
    </row>
    <row r="192" spans="7:10" x14ac:dyDescent="0.35">
      <c r="G192" s="66">
        <v>88</v>
      </c>
      <c r="H192" s="72">
        <v>0.25</v>
      </c>
      <c r="I192" s="72">
        <v>0.5</v>
      </c>
      <c r="J192" s="73" t="e" cm="1">
        <f t="array" aca="1" ref="J192" ca="1">_xll.RiskUniform(H192,I192)</f>
        <v>#NAME?</v>
      </c>
    </row>
    <row r="193" spans="7:10" x14ac:dyDescent="0.35">
      <c r="G193" s="66">
        <v>89</v>
      </c>
      <c r="H193" s="72">
        <v>0.25</v>
      </c>
      <c r="I193" s="72">
        <v>0.5</v>
      </c>
      <c r="J193" s="73" t="e" cm="1">
        <f t="array" aca="1" ref="J193" ca="1">_xll.RiskUniform(H193,I193)</f>
        <v>#NAME?</v>
      </c>
    </row>
    <row r="194" spans="7:10" x14ac:dyDescent="0.35">
      <c r="G194" s="66">
        <v>90</v>
      </c>
      <c r="H194" s="72">
        <v>0.5</v>
      </c>
      <c r="I194" s="72">
        <v>1</v>
      </c>
      <c r="J194" s="73" t="e" cm="1">
        <f t="array" aca="1" ref="J194" ca="1">_xll.RiskUniform(H194,I194)</f>
        <v>#NAME?</v>
      </c>
    </row>
    <row r="195" spans="7:10" x14ac:dyDescent="0.35">
      <c r="G195" s="66">
        <v>91</v>
      </c>
      <c r="H195" s="72">
        <v>0.5</v>
      </c>
      <c r="I195" s="72">
        <v>1</v>
      </c>
      <c r="J195" s="73" t="e" cm="1">
        <f t="array" aca="1" ref="J195" ca="1">_xll.RiskUniform(H195,I195)</f>
        <v>#NAME?</v>
      </c>
    </row>
    <row r="196" spans="7:10" x14ac:dyDescent="0.35">
      <c r="G196" s="66">
        <v>92</v>
      </c>
      <c r="H196" s="72">
        <v>0.5</v>
      </c>
      <c r="I196" s="72">
        <v>1</v>
      </c>
      <c r="J196" s="73" t="e" cm="1">
        <f t="array" aca="1" ref="J196" ca="1">_xll.RiskUniform(H196,I196)</f>
        <v>#NAME?</v>
      </c>
    </row>
    <row r="197" spans="7:10" x14ac:dyDescent="0.35">
      <c r="G197" s="66">
        <v>93</v>
      </c>
      <c r="H197" s="72">
        <v>0.35</v>
      </c>
      <c r="I197" s="72">
        <v>0.41</v>
      </c>
      <c r="J197" s="73" t="e" cm="1">
        <f t="array" aca="1" ref="J197" ca="1">_xll.RiskUniform(H197,I197)</f>
        <v>#NAME?</v>
      </c>
    </row>
    <row r="198" spans="7:10" x14ac:dyDescent="0.35">
      <c r="G198" s="66">
        <v>94</v>
      </c>
      <c r="H198" s="72">
        <v>0.15</v>
      </c>
      <c r="I198" s="72">
        <v>0.4</v>
      </c>
      <c r="J198" s="73" t="e" cm="1">
        <f t="array" aca="1" ref="J198" ca="1">_xll.RiskUniform(H198,I198)</f>
        <v>#NAME?</v>
      </c>
    </row>
    <row r="199" spans="7:10" x14ac:dyDescent="0.35">
      <c r="G199" s="66">
        <v>95</v>
      </c>
      <c r="H199" s="72">
        <v>0.8</v>
      </c>
      <c r="I199" s="72">
        <v>0.9</v>
      </c>
      <c r="J199" s="73" t="e" cm="1">
        <f t="array" aca="1" ref="J199" ca="1">_xll.RiskUniform(H199,I199)</f>
        <v>#NAME?</v>
      </c>
    </row>
    <row r="200" spans="7:10" x14ac:dyDescent="0.35">
      <c r="G200" s="66">
        <v>96</v>
      </c>
      <c r="H200" s="72">
        <v>0.7</v>
      </c>
      <c r="I200" s="72">
        <v>0.7</v>
      </c>
      <c r="J200" s="73" t="e" cm="1">
        <f t="array" aca="1" ref="J200" ca="1">_xll.RiskUniform(H200,I200)</f>
        <v>#NAME?</v>
      </c>
    </row>
    <row r="201" spans="7:10" x14ac:dyDescent="0.35">
      <c r="G201" s="66">
        <v>97</v>
      </c>
      <c r="H201" s="72">
        <v>0.4</v>
      </c>
      <c r="I201" s="72">
        <v>0.6</v>
      </c>
      <c r="J201" s="73" t="e" cm="1">
        <f t="array" aca="1" ref="J201" ca="1">_xll.RiskUniform(H201,I201)</f>
        <v>#NAME?</v>
      </c>
    </row>
    <row r="202" spans="7:10" x14ac:dyDescent="0.35">
      <c r="G202" s="66">
        <v>98</v>
      </c>
      <c r="H202" s="72">
        <v>0.9</v>
      </c>
      <c r="I202" s="72">
        <v>1</v>
      </c>
      <c r="J202" s="73" t="e" cm="1">
        <f t="array" aca="1" ref="J202" ca="1">_xll.RiskUniform(H202,I202)</f>
        <v>#NAME?</v>
      </c>
    </row>
    <row r="203" spans="7:10" x14ac:dyDescent="0.35">
      <c r="G203" s="66">
        <v>99</v>
      </c>
      <c r="H203" s="72">
        <v>0.1</v>
      </c>
      <c r="I203" s="72">
        <v>0.3</v>
      </c>
      <c r="J203" s="73" t="e" cm="1">
        <f t="array" aca="1" ref="J203" ca="1">_xll.RiskUniform(H203,I203)</f>
        <v>#NAME?</v>
      </c>
    </row>
  </sheetData>
  <sheetProtection sheet="1" objects="1" scenarios="1" formatCells="0" formatColumns="0" formatRows="0" sort="0" autoFilter="0"/>
  <autoFilter ref="B2:BC203" xr:uid="{7D84FB43-E440-47F6-A35C-99A4F4CB1B3B}">
    <filterColumn colId="0" showButton="0"/>
    <filterColumn colId="1" showButton="0"/>
    <filterColumn colId="2" showButton="0"/>
    <filterColumn colId="5" showButton="0"/>
    <filterColumn colId="6" showButton="0"/>
    <filterColumn colId="7" showButton="0"/>
    <filterColumn colId="10" showButton="0"/>
    <filterColumn colId="11" showButton="0"/>
    <filterColumn colId="12" showButton="0"/>
    <filterColumn colId="15" showButton="0"/>
    <filterColumn colId="16" showButton="0"/>
    <filterColumn colId="17" showButton="0"/>
    <filterColumn colId="20" showButton="0"/>
    <filterColumn colId="21" showButton="0"/>
    <filterColumn colId="22" showButton="0"/>
    <filterColumn colId="25" showButton="0"/>
    <filterColumn colId="26" showButton="0"/>
    <filterColumn colId="27" showButton="0"/>
    <filterColumn colId="30" showButton="0"/>
    <filterColumn colId="31" showButton="0"/>
    <filterColumn colId="32" showButton="0"/>
    <filterColumn colId="35" showButton="0"/>
    <filterColumn colId="36" showButton="0"/>
    <filterColumn colId="37" showButton="0"/>
    <filterColumn colId="40" showButton="0"/>
    <filterColumn colId="41" showButton="0"/>
    <filterColumn colId="42" showButton="0"/>
    <filterColumn colId="45" showButton="0"/>
    <filterColumn colId="46" showButton="0"/>
    <filterColumn colId="47" showButton="0"/>
    <filterColumn colId="50" showButton="0"/>
    <filterColumn colId="51" showButton="0"/>
    <filterColumn colId="52" showButton="0"/>
  </autoFilter>
  <mergeCells count="31">
    <mergeCell ref="AP2:AS2"/>
    <mergeCell ref="AQ4:AR4"/>
    <mergeCell ref="AQ13:AR13"/>
    <mergeCell ref="L2:O2"/>
    <mergeCell ref="AZ2:BC2"/>
    <mergeCell ref="BA4:BB4"/>
    <mergeCell ref="AU2:AX2"/>
    <mergeCell ref="AV4:AW4"/>
    <mergeCell ref="AF2:AI2"/>
    <mergeCell ref="AG4:AH4"/>
    <mergeCell ref="AG15:AH15"/>
    <mergeCell ref="AK2:AN2"/>
    <mergeCell ref="AL4:AM4"/>
    <mergeCell ref="AL9:AM9"/>
    <mergeCell ref="V2:Y2"/>
    <mergeCell ref="W4:X4"/>
    <mergeCell ref="W12:X12"/>
    <mergeCell ref="AA2:AD2"/>
    <mergeCell ref="AB4:AC4"/>
    <mergeCell ref="AB8:AC8"/>
    <mergeCell ref="H104:I104"/>
    <mergeCell ref="R4:S4"/>
    <mergeCell ref="R20:S20"/>
    <mergeCell ref="M4:N4"/>
    <mergeCell ref="M40:N40"/>
    <mergeCell ref="G2:J2"/>
    <mergeCell ref="Q2:T2"/>
    <mergeCell ref="C4:D4"/>
    <mergeCell ref="C73:D73"/>
    <mergeCell ref="H4:I4"/>
    <mergeCell ref="B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B1:G82"/>
  <sheetViews>
    <sheetView zoomScale="80" zoomScaleNormal="80" workbookViewId="0"/>
  </sheetViews>
  <sheetFormatPr defaultRowHeight="14.5" x14ac:dyDescent="0.35"/>
  <cols>
    <col min="1" max="2" width="8.453125" style="2" customWidth="1"/>
    <col min="3" max="3" width="28.81640625" style="2" customWidth="1"/>
    <col min="4" max="4" width="20.81640625" style="2" customWidth="1"/>
    <col min="5" max="6" width="50.7265625" style="2" customWidth="1"/>
    <col min="7" max="8" width="20.81640625" style="2" customWidth="1"/>
    <col min="9" max="16384" width="8.7265625" style="2"/>
  </cols>
  <sheetData>
    <row r="1" spans="2:7" ht="15" thickBot="1" x14ac:dyDescent="0.4"/>
    <row r="2" spans="2:7" x14ac:dyDescent="0.35">
      <c r="B2" s="2" t="s">
        <v>168</v>
      </c>
      <c r="C2" s="78" t="s">
        <v>169</v>
      </c>
      <c r="D2" s="79" t="s">
        <v>22</v>
      </c>
      <c r="E2" s="80" t="s">
        <v>170</v>
      </c>
      <c r="F2" s="80" t="s">
        <v>171</v>
      </c>
      <c r="G2" s="81" t="s">
        <v>23</v>
      </c>
    </row>
    <row r="3" spans="2:7" ht="29" x14ac:dyDescent="0.35">
      <c r="B3" s="2" t="s">
        <v>63</v>
      </c>
      <c r="C3" s="82" t="s">
        <v>172</v>
      </c>
      <c r="D3" s="21" t="s">
        <v>173</v>
      </c>
      <c r="E3" s="36" t="s">
        <v>174</v>
      </c>
      <c r="F3" s="36" t="e" cm="1">
        <f t="array" aca="1" ref="F3" ca="1">_xll.RiskOutput("OES 1 Potential Dose Rate")+S*Qu*fabs*Yderm1*FT</f>
        <v>#NAME?</v>
      </c>
      <c r="G3" s="83" t="s">
        <v>175</v>
      </c>
    </row>
    <row r="4" spans="2:7" x14ac:dyDescent="0.35">
      <c r="C4" s="82" t="s">
        <v>176</v>
      </c>
      <c r="D4" s="21" t="s">
        <v>177</v>
      </c>
      <c r="E4" s="21" t="s">
        <v>178</v>
      </c>
      <c r="F4" s="21" t="e" cm="1">
        <f t="array" aca="1" ref="F4" ca="1">_xll.RiskOutput("OES 1 Potential Dose Rate")+PDR_1/BW</f>
        <v>#NAME?</v>
      </c>
      <c r="G4" s="83" t="s">
        <v>179</v>
      </c>
    </row>
    <row r="5" spans="2:7" ht="87" x14ac:dyDescent="0.35">
      <c r="C5" s="82" t="s">
        <v>180</v>
      </c>
      <c r="D5" s="21" t="s">
        <v>181</v>
      </c>
      <c r="E5" s="36" t="s">
        <v>182</v>
      </c>
      <c r="F5" s="36" t="e" cm="1">
        <f t="array" aca="1" ref="F5" ca="1">_xll.RiskOutput("OES 1 Intermediate Retained Dose, Non-Cancer")+IF(EF_1&gt;=EF_IT,(ARD_1*EF_IT/AT_IT),(ARD_1*EF_1/AT_IT))</f>
        <v>#NAME?</v>
      </c>
      <c r="G5" s="83" t="s">
        <v>179</v>
      </c>
    </row>
    <row r="6" spans="2:7" ht="29" x14ac:dyDescent="0.35">
      <c r="C6" s="82" t="s">
        <v>183</v>
      </c>
      <c r="D6" s="21" t="s">
        <v>184</v>
      </c>
      <c r="E6" s="21" t="s">
        <v>185</v>
      </c>
      <c r="F6" s="21" t="e" cm="1">
        <f t="array" aca="1" ref="F6" ca="1">_xll.RiskOutput("OES 1 Chronic Retained Dose, Non-Cancer")+ARD_1*EF_1*WY/(WY*EF_C)</f>
        <v>#NAME?</v>
      </c>
      <c r="G6" s="83" t="s">
        <v>179</v>
      </c>
    </row>
    <row r="7" spans="2:7" ht="15" thickBot="1" x14ac:dyDescent="0.4">
      <c r="C7" s="84" t="s">
        <v>186</v>
      </c>
      <c r="D7" s="85" t="s">
        <v>187</v>
      </c>
      <c r="E7" s="85" t="s">
        <v>188</v>
      </c>
      <c r="F7" s="85" t="e" cm="1">
        <f t="array" aca="1" ref="F7" ca="1">_xll.RiskOutput("OES 1 Lifetime Chronic Retained Dose, Cancer")+ARD_1*EF_1*WY/AT_LCRD</f>
        <v>#NAME?</v>
      </c>
      <c r="G7" s="86" t="s">
        <v>179</v>
      </c>
    </row>
    <row r="8" spans="2:7" ht="29" x14ac:dyDescent="0.35">
      <c r="B8" s="2" t="s">
        <v>66</v>
      </c>
      <c r="C8" s="87" t="s">
        <v>172</v>
      </c>
      <c r="D8" s="88" t="s">
        <v>173</v>
      </c>
      <c r="E8" s="89" t="s">
        <v>174</v>
      </c>
      <c r="F8" s="89" t="e" cm="1">
        <f t="array" aca="1" ref="F8" ca="1">_xll.RiskOutput("OES 2 Potential Dose Rate")+S*Qu*fabs*Yderm2*FT</f>
        <v>#NAME?</v>
      </c>
      <c r="G8" s="90" t="s">
        <v>175</v>
      </c>
    </row>
    <row r="9" spans="2:7" x14ac:dyDescent="0.35">
      <c r="C9" s="82" t="s">
        <v>176</v>
      </c>
      <c r="D9" s="21" t="s">
        <v>177</v>
      </c>
      <c r="E9" s="21" t="s">
        <v>178</v>
      </c>
      <c r="F9" s="21" t="e" cm="1">
        <f t="array" aca="1" ref="F9" ca="1">_xll.RiskOutput("OES 2 Potential Dose Rate")+PDR_2/BW</f>
        <v>#NAME?</v>
      </c>
      <c r="G9" s="83" t="s">
        <v>179</v>
      </c>
    </row>
    <row r="10" spans="2:7" ht="87" x14ac:dyDescent="0.35">
      <c r="C10" s="82" t="s">
        <v>180</v>
      </c>
      <c r="D10" s="21" t="s">
        <v>181</v>
      </c>
      <c r="E10" s="36" t="s">
        <v>182</v>
      </c>
      <c r="F10" s="36" t="e" cm="1">
        <f t="array" aca="1" ref="F10" ca="1">_xll.RiskOutput("OES 2 Intermediate Retained Dose, Non-Cancer")+IF(EF_2&gt;=EF_IT,(ARD_2*EF_IT/AT_IT),(ARD_2*EF_2/AT_IT))</f>
        <v>#NAME?</v>
      </c>
      <c r="G10" s="83" t="s">
        <v>179</v>
      </c>
    </row>
    <row r="11" spans="2:7" ht="29" x14ac:dyDescent="0.35">
      <c r="C11" s="82" t="s">
        <v>183</v>
      </c>
      <c r="D11" s="21" t="s">
        <v>184</v>
      </c>
      <c r="E11" s="21" t="s">
        <v>185</v>
      </c>
      <c r="F11" s="21" t="e" cm="1">
        <f t="array" aca="1" ref="F11" ca="1">_xll.RiskOutput("OES 2 Chronic Retained Dose, Non-Cancer")+ARD_2*EF_2*WY/(WY*EF_C)</f>
        <v>#NAME?</v>
      </c>
      <c r="G11" s="83" t="s">
        <v>179</v>
      </c>
    </row>
    <row r="12" spans="2:7" ht="15" thickBot="1" x14ac:dyDescent="0.4">
      <c r="C12" s="84" t="s">
        <v>186</v>
      </c>
      <c r="D12" s="85" t="s">
        <v>187</v>
      </c>
      <c r="E12" s="85" t="s">
        <v>188</v>
      </c>
      <c r="F12" s="85" t="e" cm="1">
        <f t="array" aca="1" ref="F12" ca="1">_xll.RiskOutput("OES 2 Lifetime Chronic Retained Dose, Cancer")+ARD_2*EF_2*WY/AT_LCRD</f>
        <v>#NAME?</v>
      </c>
      <c r="G12" s="86" t="s">
        <v>179</v>
      </c>
    </row>
    <row r="13" spans="2:7" ht="29" x14ac:dyDescent="0.35">
      <c r="B13" s="2" t="s">
        <v>69</v>
      </c>
      <c r="C13" s="87" t="s">
        <v>172</v>
      </c>
      <c r="D13" s="88" t="s">
        <v>173</v>
      </c>
      <c r="E13" s="89" t="s">
        <v>174</v>
      </c>
      <c r="F13" s="89" t="e" cm="1">
        <f t="array" aca="1" ref="F13" ca="1">_xll.RiskOutput("OES 3 Potential Dose Rate")+S*Qu*fabs*Yderm3*FT</f>
        <v>#NAME?</v>
      </c>
      <c r="G13" s="90" t="s">
        <v>175</v>
      </c>
    </row>
    <row r="14" spans="2:7" x14ac:dyDescent="0.35">
      <c r="C14" s="82" t="s">
        <v>176</v>
      </c>
      <c r="D14" s="21" t="s">
        <v>177</v>
      </c>
      <c r="E14" s="21" t="s">
        <v>178</v>
      </c>
      <c r="F14" s="21" t="e" cm="1">
        <f t="array" aca="1" ref="F14" ca="1">_xll.RiskOutput("OES 3 Potential Dose Rate")+PDR_3/BW</f>
        <v>#NAME?</v>
      </c>
      <c r="G14" s="83" t="s">
        <v>179</v>
      </c>
    </row>
    <row r="15" spans="2:7" ht="87" x14ac:dyDescent="0.35">
      <c r="C15" s="82" t="s">
        <v>180</v>
      </c>
      <c r="D15" s="21" t="s">
        <v>181</v>
      </c>
      <c r="E15" s="36" t="s">
        <v>182</v>
      </c>
      <c r="F15" s="36" t="e" cm="1">
        <f t="array" aca="1" ref="F15" ca="1">_xll.RiskOutput("OES 3 Intermediate Retained Dose, Non-Cancer")+IF(EF_3&gt;=EF_IT,(ARD_3*EF_IT/AT_IT),(ARD_3*EF_3)/AT_IT)</f>
        <v>#NAME?</v>
      </c>
      <c r="G15" s="83" t="s">
        <v>179</v>
      </c>
    </row>
    <row r="16" spans="2:7" ht="29" x14ac:dyDescent="0.35">
      <c r="C16" s="82" t="s">
        <v>183</v>
      </c>
      <c r="D16" s="21" t="s">
        <v>184</v>
      </c>
      <c r="E16" s="21" t="s">
        <v>185</v>
      </c>
      <c r="F16" s="21" t="e" cm="1">
        <f t="array" aca="1" ref="F16" ca="1">_xll.RiskOutput("OES 3 Chronic Retained Dose, Non-Cancer")+ARD_3*EF_3*WY/(WY*EF_C)</f>
        <v>#NAME?</v>
      </c>
      <c r="G16" s="83" t="s">
        <v>179</v>
      </c>
    </row>
    <row r="17" spans="2:7" ht="15" thickBot="1" x14ac:dyDescent="0.4">
      <c r="C17" s="84" t="s">
        <v>186</v>
      </c>
      <c r="D17" s="85" t="s">
        <v>187</v>
      </c>
      <c r="E17" s="85" t="s">
        <v>188</v>
      </c>
      <c r="F17" s="85" t="e" cm="1">
        <f t="array" aca="1" ref="F17" ca="1">_xll.RiskOutput("OES 3 Lifetime Chronic Retained Dose, Cancer")+ARD_3*EF_3*WY/AT_LCRD</f>
        <v>#NAME?</v>
      </c>
      <c r="G17" s="86" t="s">
        <v>179</v>
      </c>
    </row>
    <row r="18" spans="2:7" ht="29" x14ac:dyDescent="0.35">
      <c r="B18" s="2" t="s">
        <v>72</v>
      </c>
      <c r="C18" s="87" t="s">
        <v>172</v>
      </c>
      <c r="D18" s="88" t="s">
        <v>173</v>
      </c>
      <c r="E18" s="89" t="s">
        <v>174</v>
      </c>
      <c r="F18" s="89" t="e" cm="1">
        <f t="array" aca="1" ref="F18" ca="1">_xll.RiskOutput("OES 4 Potential Dose Rate")+S*Qu*fabs*Yderm4*FT</f>
        <v>#NAME?</v>
      </c>
      <c r="G18" s="90" t="s">
        <v>175</v>
      </c>
    </row>
    <row r="19" spans="2:7" x14ac:dyDescent="0.35">
      <c r="C19" s="82" t="s">
        <v>176</v>
      </c>
      <c r="D19" s="21" t="s">
        <v>177</v>
      </c>
      <c r="E19" s="21" t="s">
        <v>178</v>
      </c>
      <c r="F19" s="21" t="e" cm="1">
        <f t="array" aca="1" ref="F19" ca="1">_xll.RiskOutput("OES 4 Potential Dose Rate")+PDR_4/BW</f>
        <v>#NAME?</v>
      </c>
      <c r="G19" s="83" t="s">
        <v>179</v>
      </c>
    </row>
    <row r="20" spans="2:7" ht="87" x14ac:dyDescent="0.35">
      <c r="C20" s="82" t="s">
        <v>180</v>
      </c>
      <c r="D20" s="21" t="s">
        <v>181</v>
      </c>
      <c r="E20" s="36" t="s">
        <v>182</v>
      </c>
      <c r="F20" s="36" t="e" cm="1">
        <f t="array" aca="1" ref="F20" ca="1">_xll.RiskOutput("OES 4 Intermediate Retained Dose, Non-Cancer")+IF(EF_4&gt;=EF_IT,(ARD_4*EF_IT/AT_IT),(ARD_4*EF_4)/AT_IT)</f>
        <v>#NAME?</v>
      </c>
      <c r="G20" s="83" t="s">
        <v>179</v>
      </c>
    </row>
    <row r="21" spans="2:7" ht="29" x14ac:dyDescent="0.35">
      <c r="C21" s="82" t="s">
        <v>183</v>
      </c>
      <c r="D21" s="21" t="s">
        <v>184</v>
      </c>
      <c r="E21" s="21" t="s">
        <v>185</v>
      </c>
      <c r="F21" s="21" t="e" cm="1">
        <f t="array" aca="1" ref="F21" ca="1">_xll.RiskOutput("OES 4 Chronic Retained Dose, Non-Cancer")+ARD_4*EF_4*WY/(WY*EF_C)</f>
        <v>#NAME?</v>
      </c>
      <c r="G21" s="83" t="s">
        <v>179</v>
      </c>
    </row>
    <row r="22" spans="2:7" ht="15" thickBot="1" x14ac:dyDescent="0.4">
      <c r="C22" s="84" t="s">
        <v>186</v>
      </c>
      <c r="D22" s="85" t="s">
        <v>187</v>
      </c>
      <c r="E22" s="85" t="s">
        <v>188</v>
      </c>
      <c r="F22" s="85" t="e" cm="1">
        <f t="array" aca="1" ref="F22" ca="1">_xll.RiskOutput("OES 4 Lifetime Chronic Retained Dose, Cancer")+ARD_4*EF_4*WY/AT_LCRD</f>
        <v>#NAME?</v>
      </c>
      <c r="G22" s="86" t="s">
        <v>179</v>
      </c>
    </row>
    <row r="23" spans="2:7" ht="29" x14ac:dyDescent="0.35">
      <c r="B23" s="2" t="s">
        <v>75</v>
      </c>
      <c r="C23" s="87" t="s">
        <v>172</v>
      </c>
      <c r="D23" s="88" t="s">
        <v>173</v>
      </c>
      <c r="E23" s="89" t="s">
        <v>174</v>
      </c>
      <c r="F23" s="89" t="e" cm="1">
        <f t="array" aca="1" ref="F23" ca="1">_xll.RiskOutput("OES 5 Potential Dose Rate")+S*Qu*fabs*Yderm5*FT</f>
        <v>#NAME?</v>
      </c>
      <c r="G23" s="90" t="s">
        <v>175</v>
      </c>
    </row>
    <row r="24" spans="2:7" x14ac:dyDescent="0.35">
      <c r="C24" s="82" t="s">
        <v>176</v>
      </c>
      <c r="D24" s="21" t="s">
        <v>177</v>
      </c>
      <c r="E24" s="21" t="s">
        <v>178</v>
      </c>
      <c r="F24" s="21" t="e" cm="1">
        <f t="array" aca="1" ref="F24" ca="1">_xll.RiskOutput("OES 5 Potential Dose Rate")+PDR_5/BW</f>
        <v>#NAME?</v>
      </c>
      <c r="G24" s="83" t="s">
        <v>179</v>
      </c>
    </row>
    <row r="25" spans="2:7" ht="87" x14ac:dyDescent="0.35">
      <c r="C25" s="82" t="s">
        <v>180</v>
      </c>
      <c r="D25" s="21" t="s">
        <v>181</v>
      </c>
      <c r="E25" s="36" t="s">
        <v>182</v>
      </c>
      <c r="F25" s="36" t="e" cm="1">
        <f t="array" aca="1" ref="F25" ca="1">_xll.RiskOutput("OES 5 Intermediate Retained Dose, Non-Cancer")+IF(EF_5&gt;=EF_IT,(ARD_5*EF_IT/AT_IT),(ARD_5*EF_5)/AT_IT)</f>
        <v>#NAME?</v>
      </c>
      <c r="G25" s="83" t="s">
        <v>179</v>
      </c>
    </row>
    <row r="26" spans="2:7" ht="29" x14ac:dyDescent="0.35">
      <c r="C26" s="82" t="s">
        <v>183</v>
      </c>
      <c r="D26" s="21" t="s">
        <v>184</v>
      </c>
      <c r="E26" s="21" t="s">
        <v>185</v>
      </c>
      <c r="F26" s="21" t="e" cm="1">
        <f t="array" aca="1" ref="F26" ca="1">_xll.RiskOutput("OES 5 Chronic Retained Dose, Non-Cancer")+ARD_5*EF_5*WY/(WY*EF_C)</f>
        <v>#NAME?</v>
      </c>
      <c r="G26" s="83" t="s">
        <v>179</v>
      </c>
    </row>
    <row r="27" spans="2:7" ht="15" thickBot="1" x14ac:dyDescent="0.4">
      <c r="C27" s="84" t="s">
        <v>186</v>
      </c>
      <c r="D27" s="85" t="s">
        <v>187</v>
      </c>
      <c r="E27" s="85" t="s">
        <v>188</v>
      </c>
      <c r="F27" s="85" t="e" cm="1">
        <f t="array" aca="1" ref="F27" ca="1">_xll.RiskOutput("OES 5 Lifetime Chronic Retained Dose, Cancer")+ARD_5*EF_5*WY/AT_LCRD</f>
        <v>#NAME?</v>
      </c>
      <c r="G27" s="86" t="s">
        <v>179</v>
      </c>
    </row>
    <row r="28" spans="2:7" ht="29" x14ac:dyDescent="0.35">
      <c r="B28" s="2" t="s">
        <v>78</v>
      </c>
      <c r="C28" s="87" t="s">
        <v>172</v>
      </c>
      <c r="D28" s="88" t="s">
        <v>173</v>
      </c>
      <c r="E28" s="89" t="s">
        <v>174</v>
      </c>
      <c r="F28" s="89" t="e" cm="1">
        <f t="array" aca="1" ref="F28" ca="1">_xll.RiskOutput("OES 6 Potential Dose Rate")+S*Qu*fabs*Yderm6*FT</f>
        <v>#NAME?</v>
      </c>
      <c r="G28" s="90" t="s">
        <v>175</v>
      </c>
    </row>
    <row r="29" spans="2:7" x14ac:dyDescent="0.35">
      <c r="C29" s="82" t="s">
        <v>176</v>
      </c>
      <c r="D29" s="21" t="s">
        <v>177</v>
      </c>
      <c r="E29" s="21" t="s">
        <v>178</v>
      </c>
      <c r="F29" s="21" t="e" cm="1">
        <f t="array" aca="1" ref="F29" ca="1">_xll.RiskOutput("OES 6 Potential Dose Rate")+PDR_6/BW</f>
        <v>#NAME?</v>
      </c>
      <c r="G29" s="83" t="s">
        <v>179</v>
      </c>
    </row>
    <row r="30" spans="2:7" ht="87" x14ac:dyDescent="0.35">
      <c r="C30" s="82" t="s">
        <v>180</v>
      </c>
      <c r="D30" s="21" t="s">
        <v>181</v>
      </c>
      <c r="E30" s="36" t="s">
        <v>182</v>
      </c>
      <c r="F30" s="36" t="e" cm="1">
        <f t="array" aca="1" ref="F30" ca="1">_xll.RiskOutput("OES 6 Intermediate Retained Dose, Non-Cancer")+IF(EF_6&gt;=EF_IT,(ARD_6*EF_IT/AT_IT),(ARD_6*EF_6)/AT_IT)</f>
        <v>#NAME?</v>
      </c>
      <c r="G30" s="83" t="s">
        <v>179</v>
      </c>
    </row>
    <row r="31" spans="2:7" ht="29" x14ac:dyDescent="0.35">
      <c r="C31" s="82" t="s">
        <v>183</v>
      </c>
      <c r="D31" s="21" t="s">
        <v>184</v>
      </c>
      <c r="E31" s="21" t="s">
        <v>185</v>
      </c>
      <c r="F31" s="21" t="e" cm="1">
        <f t="array" aca="1" ref="F31" ca="1">_xll.RiskOutput("OES 6 Chronic Retained Dose, Non-Cancer")+ARD_6*EF_6*WY/(WY*EF_C)</f>
        <v>#NAME?</v>
      </c>
      <c r="G31" s="83" t="s">
        <v>179</v>
      </c>
    </row>
    <row r="32" spans="2:7" ht="15" thickBot="1" x14ac:dyDescent="0.4">
      <c r="C32" s="84" t="s">
        <v>186</v>
      </c>
      <c r="D32" s="85" t="s">
        <v>187</v>
      </c>
      <c r="E32" s="85" t="s">
        <v>188</v>
      </c>
      <c r="F32" s="85" t="e" cm="1">
        <f t="array" aca="1" ref="F32" ca="1">_xll.RiskOutput("OES 6 Lifetime Chronic Retained Dose, Cancer")+ARD_6*EF_6*WY/AT_LCRD</f>
        <v>#NAME?</v>
      </c>
      <c r="G32" s="86" t="s">
        <v>179</v>
      </c>
    </row>
    <row r="33" spans="2:7" ht="29" x14ac:dyDescent="0.35">
      <c r="B33" s="2" t="s">
        <v>83</v>
      </c>
      <c r="C33" s="87" t="s">
        <v>172</v>
      </c>
      <c r="D33" s="88" t="s">
        <v>173</v>
      </c>
      <c r="E33" s="89" t="s">
        <v>174</v>
      </c>
      <c r="F33" s="89" t="e" cm="1">
        <f t="array" aca="1" ref="F33" ca="1">_xll.RiskOutput("OES7 Potential Dose Rate")+S*Qu*fabs*Yderm7*FT</f>
        <v>#NAME?</v>
      </c>
      <c r="G33" s="90" t="s">
        <v>175</v>
      </c>
    </row>
    <row r="34" spans="2:7" x14ac:dyDescent="0.35">
      <c r="C34" s="82" t="s">
        <v>176</v>
      </c>
      <c r="D34" s="21" t="s">
        <v>177</v>
      </c>
      <c r="E34" s="21" t="s">
        <v>178</v>
      </c>
      <c r="F34" s="21" t="e" cm="1">
        <f t="array" aca="1" ref="F34" ca="1">_xll.RiskOutput("OES7 Potential Dose Rate")+PDR_7/BW</f>
        <v>#NAME?</v>
      </c>
      <c r="G34" s="83" t="s">
        <v>179</v>
      </c>
    </row>
    <row r="35" spans="2:7" ht="87" x14ac:dyDescent="0.35">
      <c r="C35" s="82" t="s">
        <v>180</v>
      </c>
      <c r="D35" s="21" t="s">
        <v>181</v>
      </c>
      <c r="E35" s="36" t="s">
        <v>182</v>
      </c>
      <c r="F35" s="36" t="e" cm="1">
        <f t="array" aca="1" ref="F35" ca="1">_xll.RiskOutput("OES7 Intermediate Retained Dose, Non-Cancer")+IF(EF_7&gt;=EF_IT,(ARD_7*EF_IT/AT_IT),(ARD_7*EF_7)/AT_IT)</f>
        <v>#NAME?</v>
      </c>
      <c r="G35" s="83" t="s">
        <v>179</v>
      </c>
    </row>
    <row r="36" spans="2:7" ht="29" x14ac:dyDescent="0.35">
      <c r="C36" s="82" t="s">
        <v>183</v>
      </c>
      <c r="D36" s="21" t="s">
        <v>184</v>
      </c>
      <c r="E36" s="21" t="s">
        <v>185</v>
      </c>
      <c r="F36" s="21" t="e" cm="1">
        <f t="array" aca="1" ref="F36" ca="1">_xll.RiskOutput("OES7 Chronic Retained Dose, Non-Cancer")+ARD_7*EF_7*WY/(WY*EF_C)</f>
        <v>#NAME?</v>
      </c>
      <c r="G36" s="83" t="s">
        <v>179</v>
      </c>
    </row>
    <row r="37" spans="2:7" ht="15" thickBot="1" x14ac:dyDescent="0.4">
      <c r="C37" s="84" t="s">
        <v>186</v>
      </c>
      <c r="D37" s="85" t="s">
        <v>187</v>
      </c>
      <c r="E37" s="85" t="s">
        <v>188</v>
      </c>
      <c r="F37" s="85" t="e" cm="1">
        <f t="array" aca="1" ref="F37" ca="1">_xll.RiskOutput("OES7 Lifetime Chronic Retained Dose, Cancer")+ARD_7*EF_7*WY/AT_LCRD</f>
        <v>#NAME?</v>
      </c>
      <c r="G37" s="86" t="s">
        <v>179</v>
      </c>
    </row>
    <row r="38" spans="2:7" ht="29" x14ac:dyDescent="0.35">
      <c r="B38" s="2" t="s">
        <v>85</v>
      </c>
      <c r="C38" s="87" t="s">
        <v>172</v>
      </c>
      <c r="D38" s="88" t="s">
        <v>173</v>
      </c>
      <c r="E38" s="89" t="s">
        <v>174</v>
      </c>
      <c r="F38" s="89" t="e" cm="1">
        <f t="array" aca="1" ref="F38" ca="1">_xll.RiskOutput("OES8 Potential Dose Rate")+S*Qu*fabs*Yderm8*FT</f>
        <v>#NAME?</v>
      </c>
      <c r="G38" s="90" t="s">
        <v>175</v>
      </c>
    </row>
    <row r="39" spans="2:7" x14ac:dyDescent="0.35">
      <c r="C39" s="82" t="s">
        <v>176</v>
      </c>
      <c r="D39" s="21" t="s">
        <v>177</v>
      </c>
      <c r="E39" s="21" t="s">
        <v>178</v>
      </c>
      <c r="F39" s="21" t="e" cm="1">
        <f t="array" aca="1" ref="F39" ca="1">_xll.RiskOutput("OES8 Potential Dose Rate")+PDR_8/BW</f>
        <v>#NAME?</v>
      </c>
      <c r="G39" s="83" t="s">
        <v>179</v>
      </c>
    </row>
    <row r="40" spans="2:7" ht="87" x14ac:dyDescent="0.35">
      <c r="C40" s="82" t="s">
        <v>180</v>
      </c>
      <c r="D40" s="21" t="s">
        <v>181</v>
      </c>
      <c r="E40" s="36" t="s">
        <v>182</v>
      </c>
      <c r="F40" s="36" t="e" cm="1">
        <f t="array" aca="1" ref="F40" ca="1">_xll.RiskOutput("OES8 Intermediate Retained Dose, Non-Cancer")+IF(EF_8&gt;=EF_IT,(ARD_8*EF_IT/AT_IT),(ARD_8*EF_8)/AT_IT)</f>
        <v>#NAME?</v>
      </c>
      <c r="G40" s="83" t="s">
        <v>179</v>
      </c>
    </row>
    <row r="41" spans="2:7" ht="29" x14ac:dyDescent="0.35">
      <c r="C41" s="82" t="s">
        <v>183</v>
      </c>
      <c r="D41" s="21" t="s">
        <v>184</v>
      </c>
      <c r="E41" s="21" t="s">
        <v>185</v>
      </c>
      <c r="F41" s="21" t="e" cm="1">
        <f t="array" aca="1" ref="F41" ca="1">_xll.RiskOutput("OES8 Chronic Retained Dose, Non-Cancer")+ARD_8*EF_8*WY/(WY*EF_C)</f>
        <v>#NAME?</v>
      </c>
      <c r="G41" s="83" t="s">
        <v>179</v>
      </c>
    </row>
    <row r="42" spans="2:7" ht="15" thickBot="1" x14ac:dyDescent="0.4">
      <c r="C42" s="84" t="s">
        <v>186</v>
      </c>
      <c r="D42" s="85" t="s">
        <v>187</v>
      </c>
      <c r="E42" s="85" t="s">
        <v>188</v>
      </c>
      <c r="F42" s="85" t="e" cm="1">
        <f t="array" aca="1" ref="F42" ca="1">_xll.RiskOutput("OES8 Lifetime Chronic Retained Dose, Cancer")+ARD_8*EF_8*WY/AT_LCRD</f>
        <v>#NAME?</v>
      </c>
      <c r="G42" s="86" t="s">
        <v>179</v>
      </c>
    </row>
    <row r="43" spans="2:7" ht="29" x14ac:dyDescent="0.35">
      <c r="B43" s="2" t="s">
        <v>87</v>
      </c>
      <c r="C43" s="87" t="s">
        <v>172</v>
      </c>
      <c r="D43" s="88" t="s">
        <v>173</v>
      </c>
      <c r="E43" s="89" t="s">
        <v>174</v>
      </c>
      <c r="F43" s="89" t="e" cm="1">
        <f t="array" aca="1" ref="F43" ca="1">_xll.RiskOutput("OES9 Potential Dose Rate")+S*Qu*fabs*Yderm9*FT</f>
        <v>#NAME?</v>
      </c>
      <c r="G43" s="90" t="s">
        <v>175</v>
      </c>
    </row>
    <row r="44" spans="2:7" x14ac:dyDescent="0.35">
      <c r="C44" s="82" t="s">
        <v>176</v>
      </c>
      <c r="D44" s="21" t="s">
        <v>177</v>
      </c>
      <c r="E44" s="21" t="s">
        <v>178</v>
      </c>
      <c r="F44" s="21" t="e" cm="1">
        <f t="array" aca="1" ref="F44" ca="1">_xll.RiskOutput("OES9 Potential Dose Rate")+PDR_9/BW</f>
        <v>#NAME?</v>
      </c>
      <c r="G44" s="83" t="s">
        <v>179</v>
      </c>
    </row>
    <row r="45" spans="2:7" ht="87" x14ac:dyDescent="0.35">
      <c r="C45" s="82" t="s">
        <v>180</v>
      </c>
      <c r="D45" s="21" t="s">
        <v>181</v>
      </c>
      <c r="E45" s="36" t="s">
        <v>182</v>
      </c>
      <c r="F45" s="36" t="e" cm="1">
        <f t="array" aca="1" ref="F45" ca="1">_xll.RiskOutput("OES9 Intermediate Retained Dose, Non-Cancer")+IF(EF_9&gt;=EF_IT,(ARD_9*EF_IT/AT_IT),(ARD_9*EF_9)/AT_IT)</f>
        <v>#NAME?</v>
      </c>
      <c r="G45" s="83" t="s">
        <v>179</v>
      </c>
    </row>
    <row r="46" spans="2:7" ht="29" x14ac:dyDescent="0.35">
      <c r="C46" s="82" t="s">
        <v>183</v>
      </c>
      <c r="D46" s="21" t="s">
        <v>184</v>
      </c>
      <c r="E46" s="21" t="s">
        <v>185</v>
      </c>
      <c r="F46" s="21" t="e" cm="1">
        <f t="array" aca="1" ref="F46" ca="1">_xll.RiskOutput("OES9 Chronic Retained Dose, Non-Cancer")+ARD_9*EF_9*WY/(WY*EF_C)</f>
        <v>#NAME?</v>
      </c>
      <c r="G46" s="83" t="s">
        <v>179</v>
      </c>
    </row>
    <row r="47" spans="2:7" ht="15" thickBot="1" x14ac:dyDescent="0.4">
      <c r="C47" s="84" t="s">
        <v>186</v>
      </c>
      <c r="D47" s="85" t="s">
        <v>187</v>
      </c>
      <c r="E47" s="85" t="s">
        <v>188</v>
      </c>
      <c r="F47" s="85" t="e" cm="1">
        <f t="array" aca="1" ref="F47" ca="1">_xll.RiskOutput("OES9 Lifetime Chronic Retained Dose, Cancer")+ARD_9*EF_9*WY/AT_LCRD</f>
        <v>#NAME?</v>
      </c>
      <c r="G47" s="86" t="s">
        <v>179</v>
      </c>
    </row>
    <row r="48" spans="2:7" ht="29" x14ac:dyDescent="0.35">
      <c r="B48" s="2" t="s">
        <v>89</v>
      </c>
      <c r="C48" s="87" t="s">
        <v>172</v>
      </c>
      <c r="D48" s="88" t="s">
        <v>173</v>
      </c>
      <c r="E48" s="89" t="s">
        <v>174</v>
      </c>
      <c r="F48" s="89" t="e" cm="1">
        <f t="array" aca="1" ref="F48" ca="1">_xll.RiskOutput("OES10 Potential Dose Rate")+S*Qu*fabs*Yderm10*FT</f>
        <v>#NAME?</v>
      </c>
      <c r="G48" s="90" t="s">
        <v>175</v>
      </c>
    </row>
    <row r="49" spans="2:7" x14ac:dyDescent="0.35">
      <c r="C49" s="82" t="s">
        <v>176</v>
      </c>
      <c r="D49" s="21" t="s">
        <v>177</v>
      </c>
      <c r="E49" s="21" t="s">
        <v>178</v>
      </c>
      <c r="F49" s="21" t="e" cm="1">
        <f t="array" aca="1" ref="F49" ca="1">_xll.RiskOutput("OES10 Potential Dose Rate")+PDR_10/BW</f>
        <v>#NAME?</v>
      </c>
      <c r="G49" s="83" t="s">
        <v>179</v>
      </c>
    </row>
    <row r="50" spans="2:7" ht="87" x14ac:dyDescent="0.35">
      <c r="C50" s="82" t="s">
        <v>180</v>
      </c>
      <c r="D50" s="21" t="s">
        <v>181</v>
      </c>
      <c r="E50" s="36" t="s">
        <v>182</v>
      </c>
      <c r="F50" s="36" t="e" cm="1">
        <f t="array" aca="1" ref="F50" ca="1">_xll.RiskOutput("OES10 Intermediate Retained Dose, Non-Cancer")+IF(EF_10&gt;=EF_IT,(ARD_10*EF_IT/AT_IT),(ARD_10*EF_10)/AT_IT)</f>
        <v>#NAME?</v>
      </c>
      <c r="G50" s="83" t="s">
        <v>179</v>
      </c>
    </row>
    <row r="51" spans="2:7" ht="29" x14ac:dyDescent="0.35">
      <c r="C51" s="82" t="s">
        <v>183</v>
      </c>
      <c r="D51" s="21" t="s">
        <v>184</v>
      </c>
      <c r="E51" s="21" t="s">
        <v>185</v>
      </c>
      <c r="F51" s="21" t="e" cm="1">
        <f t="array" aca="1" ref="F51" ca="1">_xll.RiskOutput("OES10 Chronic Retained Dose, Non-Cancer")+ARD_10*EF_10*WY/(WY*EF_C)</f>
        <v>#NAME?</v>
      </c>
      <c r="G51" s="83" t="s">
        <v>179</v>
      </c>
    </row>
    <row r="52" spans="2:7" ht="15" thickBot="1" x14ac:dyDescent="0.4">
      <c r="C52" s="84" t="s">
        <v>186</v>
      </c>
      <c r="D52" s="85" t="s">
        <v>187</v>
      </c>
      <c r="E52" s="85" t="s">
        <v>188</v>
      </c>
      <c r="F52" s="85" t="e" cm="1">
        <f t="array" aca="1" ref="F52" ca="1">_xll.RiskOutput("OES10 Lifetime Chronic Retained Dose, Cancer")+ARD_10*EF_10*WY/AT_LCRD</f>
        <v>#NAME?</v>
      </c>
      <c r="G52" s="86" t="s">
        <v>179</v>
      </c>
    </row>
    <row r="53" spans="2:7" ht="29" x14ac:dyDescent="0.35">
      <c r="B53" s="2" t="s">
        <v>91</v>
      </c>
      <c r="C53" s="87" t="s">
        <v>172</v>
      </c>
      <c r="D53" s="88" t="s">
        <v>173</v>
      </c>
      <c r="E53" s="89" t="s">
        <v>174</v>
      </c>
      <c r="F53" s="89" t="e" cm="1">
        <f t="array" aca="1" ref="F53" ca="1">_xll.RiskOutput("OES11 Potential Dose Rate")+S*Qu*fabs*Yderm11*FT</f>
        <v>#NAME?</v>
      </c>
      <c r="G53" s="90" t="s">
        <v>175</v>
      </c>
    </row>
    <row r="54" spans="2:7" x14ac:dyDescent="0.35">
      <c r="C54" s="82" t="s">
        <v>176</v>
      </c>
      <c r="D54" s="21" t="s">
        <v>177</v>
      </c>
      <c r="E54" s="21" t="s">
        <v>178</v>
      </c>
      <c r="F54" s="21" t="e" cm="1">
        <f t="array" aca="1" ref="F54" ca="1">_xll.RiskOutput("OES11 Potential Dose Rate")+PDR_11/BW</f>
        <v>#NAME?</v>
      </c>
      <c r="G54" s="83" t="s">
        <v>179</v>
      </c>
    </row>
    <row r="55" spans="2:7" ht="87" x14ac:dyDescent="0.35">
      <c r="C55" s="82" t="s">
        <v>180</v>
      </c>
      <c r="D55" s="21" t="s">
        <v>181</v>
      </c>
      <c r="E55" s="36" t="s">
        <v>182</v>
      </c>
      <c r="F55" s="36" t="e" cm="1">
        <f t="array" aca="1" ref="F55" ca="1">_xll.RiskOutput("OES11 Intermediate Retained Dose, Non-Cancer")+IF(EF_11&gt;=EF_IT,(ARD_11*EF_IT/AT_IT),(ARD_11*EF_11)/AT_IT)</f>
        <v>#NAME?</v>
      </c>
      <c r="G55" s="83" t="s">
        <v>179</v>
      </c>
    </row>
    <row r="56" spans="2:7" ht="29" x14ac:dyDescent="0.35">
      <c r="C56" s="82" t="s">
        <v>183</v>
      </c>
      <c r="D56" s="21" t="s">
        <v>184</v>
      </c>
      <c r="E56" s="21" t="s">
        <v>185</v>
      </c>
      <c r="F56" s="21" t="e" cm="1">
        <f t="array" aca="1" ref="F56" ca="1">_xll.RiskOutput("OES11 Chronic Retained Dose, Non-Cancer")+ARD_11*EF_11*WY/(WY*EF_C)</f>
        <v>#NAME?</v>
      </c>
      <c r="G56" s="83" t="s">
        <v>179</v>
      </c>
    </row>
    <row r="57" spans="2:7" ht="15" thickBot="1" x14ac:dyDescent="0.4">
      <c r="C57" s="84" t="s">
        <v>186</v>
      </c>
      <c r="D57" s="85" t="s">
        <v>187</v>
      </c>
      <c r="E57" s="85" t="s">
        <v>188</v>
      </c>
      <c r="F57" s="85" t="e" cm="1">
        <f t="array" aca="1" ref="F57" ca="1">_xll.RiskOutput("OES11 Lifetime Chronic Retained Dose, Cancer")+ARD_11*EF_11*WY/AT_LCRD</f>
        <v>#NAME?</v>
      </c>
      <c r="G57" s="86" t="s">
        <v>179</v>
      </c>
    </row>
    <row r="58" spans="2:7" ht="29" x14ac:dyDescent="0.35">
      <c r="B58" s="2" t="s">
        <v>93</v>
      </c>
      <c r="C58" s="87" t="s">
        <v>172</v>
      </c>
      <c r="D58" s="88" t="s">
        <v>173</v>
      </c>
      <c r="E58" s="89" t="s">
        <v>174</v>
      </c>
      <c r="F58" s="89" t="e" cm="1">
        <f t="array" aca="1" ref="F58" ca="1">_xll.RiskOutput("OES12 Potential Dose Rate")+S*Qu*fabs*Yderm12*FT</f>
        <v>#NAME?</v>
      </c>
      <c r="G58" s="90" t="s">
        <v>175</v>
      </c>
    </row>
    <row r="59" spans="2:7" x14ac:dyDescent="0.35">
      <c r="C59" s="82" t="s">
        <v>176</v>
      </c>
      <c r="D59" s="21" t="s">
        <v>177</v>
      </c>
      <c r="E59" s="21" t="s">
        <v>178</v>
      </c>
      <c r="F59" s="21" t="e" cm="1">
        <f t="array" aca="1" ref="F59" ca="1">_xll.RiskOutput("OES12 Potential Dose Rate")+PDR_12/BW</f>
        <v>#NAME?</v>
      </c>
      <c r="G59" s="83" t="s">
        <v>179</v>
      </c>
    </row>
    <row r="60" spans="2:7" ht="87" x14ac:dyDescent="0.35">
      <c r="C60" s="82" t="s">
        <v>180</v>
      </c>
      <c r="D60" s="21" t="s">
        <v>181</v>
      </c>
      <c r="E60" s="36" t="s">
        <v>182</v>
      </c>
      <c r="F60" s="36" t="e" cm="1">
        <f t="array" aca="1" ref="F60" ca="1">_xll.RiskOutput("OES12 Intermediate Retained Dose, Non-Cancer")+IF(EF_12&gt;=EF_IT,(ARD_12*EF_IT/AT_IT),(ARD_12*EF_12)/AT_IT)</f>
        <v>#NAME?</v>
      </c>
      <c r="G60" s="83" t="s">
        <v>179</v>
      </c>
    </row>
    <row r="61" spans="2:7" ht="29" x14ac:dyDescent="0.35">
      <c r="C61" s="82" t="s">
        <v>183</v>
      </c>
      <c r="D61" s="21" t="s">
        <v>184</v>
      </c>
      <c r="E61" s="21" t="s">
        <v>185</v>
      </c>
      <c r="F61" s="21" t="e" cm="1">
        <f t="array" aca="1" ref="F61" ca="1">_xll.RiskOutput("OES12 Chronic Retained Dose, Non-Cancer")+ARD_12*EF_12*WY/(WY*EF_C)</f>
        <v>#NAME?</v>
      </c>
      <c r="G61" s="83" t="s">
        <v>179</v>
      </c>
    </row>
    <row r="62" spans="2:7" ht="15" thickBot="1" x14ac:dyDescent="0.4">
      <c r="C62" s="84" t="s">
        <v>186</v>
      </c>
      <c r="D62" s="85" t="s">
        <v>187</v>
      </c>
      <c r="E62" s="85" t="s">
        <v>188</v>
      </c>
      <c r="F62" s="85" t="e" cm="1">
        <f t="array" aca="1" ref="F62" ca="1">_xll.RiskOutput("OES12 Lifetime Chronic Retained Dose, Cancer")+ARD_12*EF_12*WY/AT_LCRD</f>
        <v>#NAME?</v>
      </c>
      <c r="G62" s="86" t="s">
        <v>179</v>
      </c>
    </row>
    <row r="63" spans="2:7" ht="29" x14ac:dyDescent="0.35">
      <c r="B63" s="2" t="s">
        <v>95</v>
      </c>
      <c r="C63" s="87" t="s">
        <v>172</v>
      </c>
      <c r="D63" s="88" t="s">
        <v>173</v>
      </c>
      <c r="E63" s="89" t="s">
        <v>174</v>
      </c>
      <c r="F63" s="89" t="e" cm="1">
        <f t="array" aca="1" ref="F63" ca="1">_xll.RiskOutput("OES13 Potential Dose Rate")+S*Qu*fabs*Yderm13*FT</f>
        <v>#NAME?</v>
      </c>
      <c r="G63" s="90" t="s">
        <v>175</v>
      </c>
    </row>
    <row r="64" spans="2:7" x14ac:dyDescent="0.35">
      <c r="C64" s="82" t="s">
        <v>176</v>
      </c>
      <c r="D64" s="21" t="s">
        <v>177</v>
      </c>
      <c r="E64" s="21" t="s">
        <v>178</v>
      </c>
      <c r="F64" s="21" t="e" cm="1">
        <f t="array" aca="1" ref="F64" ca="1">_xll.RiskOutput("OES13 Potential Dose Rate")+PDR_13/BW</f>
        <v>#NAME?</v>
      </c>
      <c r="G64" s="83" t="s">
        <v>179</v>
      </c>
    </row>
    <row r="65" spans="2:7" ht="87" x14ac:dyDescent="0.35">
      <c r="C65" s="82" t="s">
        <v>180</v>
      </c>
      <c r="D65" s="21" t="s">
        <v>181</v>
      </c>
      <c r="E65" s="36" t="s">
        <v>182</v>
      </c>
      <c r="F65" s="36" t="e" cm="1">
        <f t="array" aca="1" ref="F65" ca="1">_xll.RiskOutput("OES13 Intermediate Retained Dose, Non-Cancer")+IF(EF_13&gt;=EF_IT,(ARD_13*EF_IT/AT_IT),(ARD_13*EF_13)/AT_IT)</f>
        <v>#NAME?</v>
      </c>
      <c r="G65" s="83" t="s">
        <v>179</v>
      </c>
    </row>
    <row r="66" spans="2:7" ht="29" x14ac:dyDescent="0.35">
      <c r="C66" s="82" t="s">
        <v>183</v>
      </c>
      <c r="D66" s="21" t="s">
        <v>184</v>
      </c>
      <c r="E66" s="21" t="s">
        <v>185</v>
      </c>
      <c r="F66" s="21" t="e" cm="1">
        <f t="array" aca="1" ref="F66" ca="1">_xll.RiskOutput("OES13 Chronic Retained Dose, Non-Cancer")+ARD_13*EF_13*WY/(WY*EF_C)</f>
        <v>#NAME?</v>
      </c>
      <c r="G66" s="83" t="s">
        <v>179</v>
      </c>
    </row>
    <row r="67" spans="2:7" ht="15" thickBot="1" x14ac:dyDescent="0.4">
      <c r="C67" s="84" t="s">
        <v>186</v>
      </c>
      <c r="D67" s="85" t="s">
        <v>187</v>
      </c>
      <c r="E67" s="85" t="s">
        <v>188</v>
      </c>
      <c r="F67" s="85" t="e" cm="1">
        <f t="array" aca="1" ref="F67" ca="1">_xll.RiskOutput("OES13 Lifetime Chronic Retained Dose, Cancer")+ARD_13*EF_13*WY/AT_LCRD</f>
        <v>#NAME?</v>
      </c>
      <c r="G67" s="86" t="s">
        <v>179</v>
      </c>
    </row>
    <row r="68" spans="2:7" ht="29" x14ac:dyDescent="0.35">
      <c r="B68" s="2" t="s">
        <v>97</v>
      </c>
      <c r="C68" s="87" t="s">
        <v>172</v>
      </c>
      <c r="D68" s="88" t="s">
        <v>173</v>
      </c>
      <c r="E68" s="89" t="s">
        <v>174</v>
      </c>
      <c r="F68" s="89" t="e" cm="1">
        <f t="array" aca="1" ref="F68" ca="1">_xll.RiskOutput("OES14 Potential Dose Rate")+S*Qu*fabs*Yderm14*FT</f>
        <v>#NAME?</v>
      </c>
      <c r="G68" s="90" t="s">
        <v>175</v>
      </c>
    </row>
    <row r="69" spans="2:7" x14ac:dyDescent="0.35">
      <c r="C69" s="82" t="s">
        <v>176</v>
      </c>
      <c r="D69" s="21" t="s">
        <v>177</v>
      </c>
      <c r="E69" s="21" t="s">
        <v>178</v>
      </c>
      <c r="F69" s="21" t="e" cm="1">
        <f t="array" aca="1" ref="F69" ca="1">_xll.RiskOutput("OES14 Potential Dose Rate")+PDR_14/BW</f>
        <v>#NAME?</v>
      </c>
      <c r="G69" s="83" t="s">
        <v>179</v>
      </c>
    </row>
    <row r="70" spans="2:7" ht="87" x14ac:dyDescent="0.35">
      <c r="C70" s="82" t="s">
        <v>180</v>
      </c>
      <c r="D70" s="21" t="s">
        <v>181</v>
      </c>
      <c r="E70" s="36" t="s">
        <v>182</v>
      </c>
      <c r="F70" s="36" t="e" cm="1">
        <f t="array" aca="1" ref="F70" ca="1">_xll.RiskOutput("OES14 Intermediate Retained Dose, Non-Cancer")+IF(EF_14&gt;=EF_IT,(ARD_14*EF_IT/AT_IT),(ARD_14*EF_14)/AT_IT)</f>
        <v>#NAME?</v>
      </c>
      <c r="G70" s="83" t="s">
        <v>179</v>
      </c>
    </row>
    <row r="71" spans="2:7" ht="29" x14ac:dyDescent="0.35">
      <c r="C71" s="82" t="s">
        <v>183</v>
      </c>
      <c r="D71" s="21" t="s">
        <v>184</v>
      </c>
      <c r="E71" s="21" t="s">
        <v>185</v>
      </c>
      <c r="F71" s="21" t="e" cm="1">
        <f t="array" aca="1" ref="F71" ca="1">_xll.RiskOutput("OES14 Chronic Retained Dose, Non-Cancer")+ARD_14*EF_14*WY/(WY*EF_C)</f>
        <v>#NAME?</v>
      </c>
      <c r="G71" s="83" t="s">
        <v>179</v>
      </c>
    </row>
    <row r="72" spans="2:7" ht="15" thickBot="1" x14ac:dyDescent="0.4">
      <c r="C72" s="84" t="s">
        <v>186</v>
      </c>
      <c r="D72" s="85" t="s">
        <v>187</v>
      </c>
      <c r="E72" s="85" t="s">
        <v>188</v>
      </c>
      <c r="F72" s="85" t="e" cm="1">
        <f t="array" aca="1" ref="F72" ca="1">_xll.RiskOutput("OES14 Lifetime Chronic Retained Dose, Cancer")+ARD_14*EF_14*WY/AT_LCRD</f>
        <v>#NAME?</v>
      </c>
      <c r="G72" s="86" t="s">
        <v>179</v>
      </c>
    </row>
    <row r="73" spans="2:7" ht="29" x14ac:dyDescent="0.35">
      <c r="B73" s="2" t="s">
        <v>99</v>
      </c>
      <c r="C73" s="87" t="s">
        <v>172</v>
      </c>
      <c r="D73" s="88" t="s">
        <v>173</v>
      </c>
      <c r="E73" s="89" t="s">
        <v>174</v>
      </c>
      <c r="F73" s="89" t="e" cm="1">
        <f t="array" aca="1" ref="F73" ca="1">_xll.RiskOutput("OES15 Potential Dose Rate")+S*Qu*fabs*Yderm15*FT</f>
        <v>#NAME?</v>
      </c>
      <c r="G73" s="90" t="s">
        <v>175</v>
      </c>
    </row>
    <row r="74" spans="2:7" x14ac:dyDescent="0.35">
      <c r="C74" s="82" t="s">
        <v>176</v>
      </c>
      <c r="D74" s="21" t="s">
        <v>177</v>
      </c>
      <c r="E74" s="21" t="s">
        <v>178</v>
      </c>
      <c r="F74" s="21" t="e" cm="1">
        <f t="array" aca="1" ref="F74" ca="1">_xll.RiskOutput("OES15 Potential Dose Rate")+PDR_15/BW</f>
        <v>#NAME?</v>
      </c>
      <c r="G74" s="83" t="s">
        <v>179</v>
      </c>
    </row>
    <row r="75" spans="2:7" ht="87" x14ac:dyDescent="0.35">
      <c r="C75" s="82" t="s">
        <v>180</v>
      </c>
      <c r="D75" s="21" t="s">
        <v>181</v>
      </c>
      <c r="E75" s="36" t="s">
        <v>182</v>
      </c>
      <c r="F75" s="36" t="e" cm="1">
        <f t="array" aca="1" ref="F75" ca="1">_xll.RiskOutput("OES15 Intermediate Retained Dose, Non-Cancer")+IF(EF_15&gt;=EF_IT,(ARD_15*EF_IT/AT_IT),(ARD_15*EF_15)/AT_IT)</f>
        <v>#NAME?</v>
      </c>
      <c r="G75" s="83" t="s">
        <v>179</v>
      </c>
    </row>
    <row r="76" spans="2:7" ht="29" x14ac:dyDescent="0.35">
      <c r="C76" s="82" t="s">
        <v>183</v>
      </c>
      <c r="D76" s="21" t="s">
        <v>184</v>
      </c>
      <c r="E76" s="21" t="s">
        <v>185</v>
      </c>
      <c r="F76" s="21" t="e" cm="1">
        <f t="array" aca="1" ref="F76" ca="1">_xll.RiskOutput("OES15 Chronic Retained Dose, Non-Cancer")+ARD_15*EF_15*WY/(WY*EF_C)</f>
        <v>#NAME?</v>
      </c>
      <c r="G76" s="83" t="s">
        <v>179</v>
      </c>
    </row>
    <row r="77" spans="2:7" ht="15" thickBot="1" x14ac:dyDescent="0.4">
      <c r="C77" s="84" t="s">
        <v>186</v>
      </c>
      <c r="D77" s="85" t="s">
        <v>187</v>
      </c>
      <c r="E77" s="85" t="s">
        <v>188</v>
      </c>
      <c r="F77" s="85" t="e" cm="1">
        <f t="array" aca="1" ref="F77" ca="1">_xll.RiskOutput("OES15 Lifetime Chronic Retained Dose, Cancer")+ARD_15*EF_15*WY/AT_LCRD</f>
        <v>#NAME?</v>
      </c>
      <c r="G77" s="86" t="s">
        <v>179</v>
      </c>
    </row>
    <row r="78" spans="2:7" ht="29" x14ac:dyDescent="0.35">
      <c r="B78" s="2" t="s">
        <v>101</v>
      </c>
      <c r="C78" s="91" t="s">
        <v>172</v>
      </c>
      <c r="D78" s="92" t="s">
        <v>173</v>
      </c>
      <c r="E78" s="93" t="s">
        <v>174</v>
      </c>
      <c r="F78" s="93" t="e" cm="1">
        <f t="array" aca="1" ref="F78" ca="1">_xll.RiskOutput("OES16 Potential Dose Rate")+S*Qu*fabs*Yderm16*FT</f>
        <v>#NAME?</v>
      </c>
      <c r="G78" s="94" t="s">
        <v>175</v>
      </c>
    </row>
    <row r="79" spans="2:7" x14ac:dyDescent="0.35">
      <c r="C79" s="82" t="s">
        <v>176</v>
      </c>
      <c r="D79" s="21" t="s">
        <v>177</v>
      </c>
      <c r="E79" s="21" t="s">
        <v>178</v>
      </c>
      <c r="F79" s="21" t="e" cm="1">
        <f t="array" aca="1" ref="F79" ca="1">_xll.RiskOutput("OES16 Potential Dose Rate")+PDR_16/BW</f>
        <v>#NAME?</v>
      </c>
      <c r="G79" s="83" t="s">
        <v>179</v>
      </c>
    </row>
    <row r="80" spans="2:7" ht="87" x14ac:dyDescent="0.35">
      <c r="C80" s="82" t="s">
        <v>180</v>
      </c>
      <c r="D80" s="21" t="s">
        <v>181</v>
      </c>
      <c r="E80" s="36" t="s">
        <v>182</v>
      </c>
      <c r="F80" s="36" t="e" cm="1">
        <f t="array" aca="1" ref="F80" ca="1">_xll.RiskOutput("OES16 Intermediate Retained Dose, Non-Cancer")+IF(EF_16&gt;=EF_IT,(ARD_16*EF_IT/AT_IT),(ARD_16*EF_16)/AT_IT)</f>
        <v>#NAME?</v>
      </c>
      <c r="G80" s="83" t="s">
        <v>179</v>
      </c>
    </row>
    <row r="81" spans="3:7" ht="29" x14ac:dyDescent="0.35">
      <c r="C81" s="82" t="s">
        <v>183</v>
      </c>
      <c r="D81" s="21" t="s">
        <v>184</v>
      </c>
      <c r="E81" s="21" t="s">
        <v>185</v>
      </c>
      <c r="F81" s="21" t="e" cm="1">
        <f t="array" aca="1" ref="F81" ca="1">_xll.RiskOutput("OES16 Chronic Retained Dose, Non-Cancer")+ARD_16*EF_16*WY/(WY*EF_C)</f>
        <v>#NAME?</v>
      </c>
      <c r="G81" s="83" t="s">
        <v>179</v>
      </c>
    </row>
    <row r="82" spans="3:7" ht="15" thickBot="1" x14ac:dyDescent="0.4">
      <c r="C82" s="84" t="s">
        <v>186</v>
      </c>
      <c r="D82" s="85" t="s">
        <v>187</v>
      </c>
      <c r="E82" s="85" t="s">
        <v>188</v>
      </c>
      <c r="F82" s="85" t="e" cm="1">
        <f t="array" aca="1" ref="F82" ca="1">_xll.RiskOutput("OES16 Lifetime Chronic Retained Dose, Cancer")+ARD_16*EF_16*WY/AT_LCRD</f>
        <v>#NAME?</v>
      </c>
      <c r="G82" s="86" t="s">
        <v>179</v>
      </c>
    </row>
  </sheetData>
  <sheetProtection sheet="1" objects="1" scenarios="1" formatCells="0" formatColumns="0" formatRows="0" sort="0" autoFilter="0"/>
  <autoFilter ref="B1:G82" xr:uid="{00000000-0001-0000-0000-000000000000}"/>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A4E2-F79B-4E2C-ADD8-18AC0F7B69EA}">
  <sheetPr codeName="Sheet6"/>
  <dimension ref="A1:H120"/>
  <sheetViews>
    <sheetView zoomScale="80" zoomScaleNormal="80" workbookViewId="0">
      <selection sqref="A1:B1"/>
    </sheetView>
  </sheetViews>
  <sheetFormatPr defaultRowHeight="14.5" x14ac:dyDescent="0.35"/>
  <cols>
    <col min="1" max="1" width="18" style="2" customWidth="1"/>
    <col min="2" max="3" width="18.1796875" style="2" customWidth="1"/>
    <col min="4" max="8" width="23.26953125" style="2" customWidth="1"/>
    <col min="9" max="16384" width="8.7265625" style="2"/>
  </cols>
  <sheetData>
    <row r="1" spans="1:8" x14ac:dyDescent="0.35">
      <c r="A1" s="95" t="s">
        <v>189</v>
      </c>
      <c r="B1" s="95"/>
    </row>
    <row r="2" spans="1:8" x14ac:dyDescent="0.35">
      <c r="A2" s="21" t="s">
        <v>190</v>
      </c>
      <c r="B2" s="96">
        <v>100000</v>
      </c>
    </row>
    <row r="3" spans="1:8" x14ac:dyDescent="0.35">
      <c r="A3" s="21" t="s">
        <v>191</v>
      </c>
      <c r="B3" s="67" t="s">
        <v>192</v>
      </c>
    </row>
    <row r="4" spans="1:8" x14ac:dyDescent="0.35">
      <c r="B4" s="4"/>
    </row>
    <row r="5" spans="1:8" x14ac:dyDescent="0.35">
      <c r="B5" s="4"/>
    </row>
    <row r="6" spans="1:8" x14ac:dyDescent="0.35">
      <c r="A6" s="97" t="s">
        <v>193</v>
      </c>
      <c r="B6" s="97" t="s">
        <v>194</v>
      </c>
      <c r="C6" s="97" t="s">
        <v>195</v>
      </c>
      <c r="D6" s="97" t="s">
        <v>196</v>
      </c>
      <c r="E6" s="97"/>
      <c r="F6" s="97"/>
      <c r="G6" s="97"/>
      <c r="H6" s="97"/>
    </row>
    <row r="7" spans="1:8" ht="29" x14ac:dyDescent="0.35">
      <c r="A7" s="97"/>
      <c r="B7" s="97"/>
      <c r="C7" s="97"/>
      <c r="D7" s="98" t="s">
        <v>172</v>
      </c>
      <c r="E7" s="98" t="s">
        <v>176</v>
      </c>
      <c r="F7" s="98" t="s">
        <v>180</v>
      </c>
      <c r="G7" s="98" t="s">
        <v>183</v>
      </c>
      <c r="H7" s="98" t="s">
        <v>186</v>
      </c>
    </row>
    <row r="8" spans="1:8" x14ac:dyDescent="0.35">
      <c r="A8" s="97"/>
      <c r="B8" s="97"/>
      <c r="C8" s="97"/>
      <c r="D8" s="98" t="s">
        <v>197</v>
      </c>
      <c r="E8" s="98" t="s">
        <v>198</v>
      </c>
      <c r="F8" s="98" t="s">
        <v>199</v>
      </c>
      <c r="G8" s="98" t="s">
        <v>200</v>
      </c>
      <c r="H8" s="98" t="s">
        <v>201</v>
      </c>
    </row>
    <row r="9" spans="1:8" x14ac:dyDescent="0.35">
      <c r="A9" s="71" t="s">
        <v>63</v>
      </c>
      <c r="B9" s="99" t="str">
        <f>VLOOKUP(A9, 'OES Lookups'!$B$2:$C$19, 2, FALSE)</f>
        <v>Manufacture</v>
      </c>
      <c r="C9" s="100" t="s">
        <v>40</v>
      </c>
      <c r="D9" s="101" t="e" cm="1">
        <f t="array" aca="1" ref="D9" ca="1">_xll.RiskMax(PDR_1)</f>
        <v>#NAME?</v>
      </c>
      <c r="E9" s="101" t="e" cm="1">
        <f t="array" aca="1" ref="E9" ca="1">_xll.RiskMax(ARD_1)</f>
        <v>#NAME?</v>
      </c>
      <c r="F9" s="101" t="e" cm="1">
        <f t="array" aca="1" ref="F9" ca="1">_xll.RiskMax(IRD_1)</f>
        <v>#NAME?</v>
      </c>
      <c r="G9" s="101" t="e" cm="1">
        <f t="array" aca="1" ref="G9" ca="1">_xll.RiskMax(CRD_1)</f>
        <v>#NAME?</v>
      </c>
      <c r="H9" s="101" t="e" cm="1">
        <f t="array" aca="1" ref="H9" ca="1">_xll.RiskMax(LCRD_1)</f>
        <v>#NAME?</v>
      </c>
    </row>
    <row r="10" spans="1:8" x14ac:dyDescent="0.35">
      <c r="A10" s="71"/>
      <c r="B10" s="99"/>
      <c r="C10" s="100" t="s">
        <v>202</v>
      </c>
      <c r="D10" s="101" t="e" cm="1">
        <f t="array" aca="1" ref="D10" ca="1">_xll.RiskPercentile(PDR_1, 0.99)</f>
        <v>#NAME?</v>
      </c>
      <c r="E10" s="101" t="e" cm="1">
        <f t="array" aca="1" ref="E10" ca="1">_xll.RiskPercentile(ARD_1, 0.99)</f>
        <v>#NAME?</v>
      </c>
      <c r="F10" s="101" t="e" cm="1">
        <f t="array" aca="1" ref="F10" ca="1">_xll.RiskPercentile(IRD_1, 0.99)</f>
        <v>#NAME?</v>
      </c>
      <c r="G10" s="101" t="e" cm="1">
        <f t="array" aca="1" ref="G10" ca="1">_xll.RiskPercentile(CRD_1, 0.99)</f>
        <v>#NAME?</v>
      </c>
      <c r="H10" s="101" t="e" cm="1">
        <f t="array" aca="1" ref="H10" ca="1">_xll.RiskPercentile(LCRD_1, 0.99)</f>
        <v>#NAME?</v>
      </c>
    </row>
    <row r="11" spans="1:8" x14ac:dyDescent="0.35">
      <c r="A11" s="71"/>
      <c r="B11" s="99"/>
      <c r="C11" s="100" t="s">
        <v>203</v>
      </c>
      <c r="D11" s="101" t="e" cm="1">
        <f t="array" aca="1" ref="D11" ca="1">_xll.RiskPercentile(PDR_1, 0.95)</f>
        <v>#NAME?</v>
      </c>
      <c r="E11" s="101" t="e" cm="1">
        <f t="array" aca="1" ref="E11" ca="1">_xll.RiskPercentile(ARD_1, 0.95)</f>
        <v>#NAME?</v>
      </c>
      <c r="F11" s="101" t="e" cm="1">
        <f t="array" aca="1" ref="F11" ca="1">_xll.RiskPercentile(IRD_1, 0.95)</f>
        <v>#NAME?</v>
      </c>
      <c r="G11" s="101" t="e" cm="1">
        <f t="array" aca="1" ref="G11" ca="1">_xll.RiskPercentile(CRD_1, 0.95)</f>
        <v>#NAME?</v>
      </c>
      <c r="H11" s="101" t="e" cm="1">
        <f t="array" aca="1" ref="H11" ca="1">_xll.RiskPercentile(LCRD_1, 0.95)</f>
        <v>#NAME?</v>
      </c>
    </row>
    <row r="12" spans="1:8" x14ac:dyDescent="0.35">
      <c r="A12" s="71"/>
      <c r="B12" s="99"/>
      <c r="C12" s="100" t="s">
        <v>204</v>
      </c>
      <c r="D12" s="101" t="e" cm="1">
        <f t="array" aca="1" ref="D12" ca="1">_xll.RiskPercentile(PDR_1, 0.5)</f>
        <v>#NAME?</v>
      </c>
      <c r="E12" s="101" t="e" cm="1">
        <f t="array" aca="1" ref="E12" ca="1">_xll.RiskPercentile(ARD_1, 0.5)</f>
        <v>#NAME?</v>
      </c>
      <c r="F12" s="101" t="e" cm="1">
        <f t="array" aca="1" ref="F12" ca="1">_xll.RiskPercentile(IRD_1, 0.5)</f>
        <v>#NAME?</v>
      </c>
      <c r="G12" s="101" t="e" cm="1">
        <f t="array" aca="1" ref="G12" ca="1">_xll.RiskPercentile(CRD_1, 0.5)</f>
        <v>#NAME?</v>
      </c>
      <c r="H12" s="101" t="e" cm="1">
        <f t="array" aca="1" ref="H12" ca="1">_xll.RiskPercentile(LCRD_1, 0.5)</f>
        <v>#NAME?</v>
      </c>
    </row>
    <row r="13" spans="1:8" x14ac:dyDescent="0.35">
      <c r="A13" s="71"/>
      <c r="B13" s="99"/>
      <c r="C13" s="100" t="s">
        <v>205</v>
      </c>
      <c r="D13" s="101" t="e" cm="1">
        <f t="array" aca="1" ref="D13" ca="1">_xll.RiskPercentile(PDR_1, 0.05)</f>
        <v>#NAME?</v>
      </c>
      <c r="E13" s="101" t="e" cm="1">
        <f t="array" aca="1" ref="E13" ca="1">_xll.RiskPercentile(ARD_1, 0.05)</f>
        <v>#NAME?</v>
      </c>
      <c r="F13" s="101" t="e" cm="1">
        <f t="array" aca="1" ref="F13" ca="1">_xll.RiskPercentile(IRD_1, 0.05)</f>
        <v>#NAME?</v>
      </c>
      <c r="G13" s="101" t="e" cm="1">
        <f t="array" aca="1" ref="G13" ca="1">_xll.RiskPercentile(CRD_1, 0.05)</f>
        <v>#NAME?</v>
      </c>
      <c r="H13" s="101" t="e" cm="1">
        <f t="array" aca="1" ref="H13" ca="1">_xll.RiskPercentile(LCRD_1, 0.05)</f>
        <v>#NAME?</v>
      </c>
    </row>
    <row r="14" spans="1:8" x14ac:dyDescent="0.35">
      <c r="A14" s="71"/>
      <c r="B14" s="99"/>
      <c r="C14" s="100" t="s">
        <v>206</v>
      </c>
      <c r="D14" s="101" t="e" cm="1">
        <f t="array" aca="1" ref="D14" ca="1">_xll.RiskMin(PDR_1)</f>
        <v>#NAME?</v>
      </c>
      <c r="E14" s="101" t="e" cm="1">
        <f t="array" aca="1" ref="E14" ca="1">_xll.RiskMin(ARD_1)</f>
        <v>#NAME?</v>
      </c>
      <c r="F14" s="101" t="e" cm="1">
        <f t="array" aca="1" ref="F14" ca="1">_xll.RiskMin(IRD_1)</f>
        <v>#NAME?</v>
      </c>
      <c r="G14" s="101" t="e" cm="1">
        <f t="array" aca="1" ref="G14" ca="1">_xll.RiskMin(CRD_1)</f>
        <v>#NAME?</v>
      </c>
      <c r="H14" s="101" t="e" cm="1">
        <f t="array" aca="1" ref="H14" ca="1">_xll.RiskMin(LCRD_1)</f>
        <v>#NAME?</v>
      </c>
    </row>
    <row r="15" spans="1:8" x14ac:dyDescent="0.35">
      <c r="A15" s="71"/>
      <c r="B15" s="99"/>
      <c r="C15" s="100" t="s">
        <v>207</v>
      </c>
      <c r="D15" s="101" t="e" cm="1">
        <f t="array" aca="1" ref="D15" ca="1">_xll.RiskMean(PDR_1)</f>
        <v>#NAME?</v>
      </c>
      <c r="E15" s="101" t="e" cm="1">
        <f t="array" aca="1" ref="E15" ca="1">_xll.RiskMean(ARD_1)</f>
        <v>#NAME?</v>
      </c>
      <c r="F15" s="101" t="e" cm="1">
        <f t="array" aca="1" ref="F15" ca="1">_xll.RiskMean(IRD_1)</f>
        <v>#NAME?</v>
      </c>
      <c r="G15" s="101" t="e" cm="1">
        <f t="array" aca="1" ref="G15" ca="1">_xll.RiskMean(CRD_1)</f>
        <v>#NAME?</v>
      </c>
      <c r="H15" s="101" t="e" cm="1">
        <f t="array" aca="1" ref="H15" ca="1">_xll.RiskMean(LCRD_1)</f>
        <v>#NAME?</v>
      </c>
    </row>
    <row r="16" spans="1:8" x14ac:dyDescent="0.35">
      <c r="A16" s="71" t="s">
        <v>66</v>
      </c>
      <c r="B16" s="102" t="str">
        <f>VLOOKUP(A16, 'OES Lookups'!$B$2:$C$19, 2, FALSE)</f>
        <v>Manufacture as a byproduct</v>
      </c>
      <c r="C16" s="100" t="s">
        <v>40</v>
      </c>
      <c r="D16" s="101" t="e" cm="1">
        <f t="array" aca="1" ref="D16" ca="1">_xll.RiskMax(PDR_2)</f>
        <v>#NAME?</v>
      </c>
      <c r="E16" s="101" t="e" cm="1">
        <f t="array" aca="1" ref="E16" ca="1">_xll.RiskMax(ARD_2)</f>
        <v>#NAME?</v>
      </c>
      <c r="F16" s="101" t="e" cm="1">
        <f t="array" aca="1" ref="F16" ca="1">_xll.RiskMax(IRD_2)</f>
        <v>#NAME?</v>
      </c>
      <c r="G16" s="101" t="e" cm="1">
        <f t="array" aca="1" ref="G16" ca="1">_xll.RiskMax(CRD_2)</f>
        <v>#NAME?</v>
      </c>
      <c r="H16" s="101" t="e" cm="1">
        <f t="array" aca="1" ref="H16" ca="1">_xll.RiskMax(LCRD_2)</f>
        <v>#NAME?</v>
      </c>
    </row>
    <row r="17" spans="1:8" x14ac:dyDescent="0.35">
      <c r="A17" s="71"/>
      <c r="B17" s="102"/>
      <c r="C17" s="100" t="s">
        <v>202</v>
      </c>
      <c r="D17" s="101" t="e" cm="1">
        <f t="array" aca="1" ref="D17" ca="1">_xll.RiskPercentile(PDR_2, 0.99)</f>
        <v>#NAME?</v>
      </c>
      <c r="E17" s="101" t="e" cm="1">
        <f t="array" aca="1" ref="E17" ca="1">_xll.RiskPercentile(ARD_2, 0.99)</f>
        <v>#NAME?</v>
      </c>
      <c r="F17" s="101" t="e" cm="1">
        <f t="array" aca="1" ref="F17" ca="1">_xll.RiskPercentile(IRD_2, 0.99)</f>
        <v>#NAME?</v>
      </c>
      <c r="G17" s="101" t="e" cm="1">
        <f t="array" aca="1" ref="G17" ca="1">_xll.RiskPercentile(CRD_2, 0.99)</f>
        <v>#NAME?</v>
      </c>
      <c r="H17" s="101" t="e" cm="1">
        <f t="array" aca="1" ref="H17" ca="1">_xll.RiskPercentile(LCRD_2, 0.99)</f>
        <v>#NAME?</v>
      </c>
    </row>
    <row r="18" spans="1:8" x14ac:dyDescent="0.35">
      <c r="A18" s="71"/>
      <c r="B18" s="102"/>
      <c r="C18" s="100" t="s">
        <v>203</v>
      </c>
      <c r="D18" s="101" t="e" cm="1">
        <f t="array" aca="1" ref="D18" ca="1">_xll.RiskPercentile(PDR_2, 0.95)</f>
        <v>#NAME?</v>
      </c>
      <c r="E18" s="101" t="e" cm="1">
        <f t="array" aca="1" ref="E18" ca="1">_xll.RiskPercentile(ARD_2, 0.95)</f>
        <v>#NAME?</v>
      </c>
      <c r="F18" s="101" t="e" cm="1">
        <f t="array" aca="1" ref="F18" ca="1">_xll.RiskPercentile(IRD_2, 0.95)</f>
        <v>#NAME?</v>
      </c>
      <c r="G18" s="101" t="e" cm="1">
        <f t="array" aca="1" ref="G18" ca="1">_xll.RiskPercentile(CRD_2, 0.95)</f>
        <v>#NAME?</v>
      </c>
      <c r="H18" s="101" t="e" cm="1">
        <f t="array" aca="1" ref="H18" ca="1">_xll.RiskPercentile(LCRD_2, 0.95)</f>
        <v>#NAME?</v>
      </c>
    </row>
    <row r="19" spans="1:8" x14ac:dyDescent="0.35">
      <c r="A19" s="71"/>
      <c r="B19" s="102"/>
      <c r="C19" s="100" t="s">
        <v>204</v>
      </c>
      <c r="D19" s="101" t="e" cm="1">
        <f t="array" aca="1" ref="D19" ca="1">_xll.RiskPercentile(PDR_2, 0.5)</f>
        <v>#NAME?</v>
      </c>
      <c r="E19" s="101" t="e" cm="1">
        <f t="array" aca="1" ref="E19" ca="1">_xll.RiskPercentile(ARD_2, 0.5)</f>
        <v>#NAME?</v>
      </c>
      <c r="F19" s="101" t="e" cm="1">
        <f t="array" aca="1" ref="F19" ca="1">_xll.RiskPercentile(IRD_2, 0.5)</f>
        <v>#NAME?</v>
      </c>
      <c r="G19" s="101" t="e" cm="1">
        <f t="array" aca="1" ref="G19" ca="1">_xll.RiskPercentile(CRD_2, 0.5)</f>
        <v>#NAME?</v>
      </c>
      <c r="H19" s="101" t="e" cm="1">
        <f t="array" aca="1" ref="H19" ca="1">_xll.RiskPercentile(LCRD_2, 0.5)</f>
        <v>#NAME?</v>
      </c>
    </row>
    <row r="20" spans="1:8" x14ac:dyDescent="0.35">
      <c r="A20" s="71"/>
      <c r="B20" s="102"/>
      <c r="C20" s="100" t="s">
        <v>205</v>
      </c>
      <c r="D20" s="101" t="e" cm="1">
        <f t="array" aca="1" ref="D20" ca="1">_xll.RiskPercentile(PDR_2, 0.05)</f>
        <v>#NAME?</v>
      </c>
      <c r="E20" s="101" t="e" cm="1">
        <f t="array" aca="1" ref="E20" ca="1">_xll.RiskPercentile(ARD_2, 0.05)</f>
        <v>#NAME?</v>
      </c>
      <c r="F20" s="101" t="e" cm="1">
        <f t="array" aca="1" ref="F20" ca="1">_xll.RiskPercentile(IRD_2, 0.05)</f>
        <v>#NAME?</v>
      </c>
      <c r="G20" s="101" t="e" cm="1">
        <f t="array" aca="1" ref="G20" ca="1">_xll.RiskPercentile(CRD_2, 0.05)</f>
        <v>#NAME?</v>
      </c>
      <c r="H20" s="101" t="e" cm="1">
        <f t="array" aca="1" ref="H20" ca="1">_xll.RiskPercentile(LCRD_2, 0.05)</f>
        <v>#NAME?</v>
      </c>
    </row>
    <row r="21" spans="1:8" x14ac:dyDescent="0.35">
      <c r="A21" s="71"/>
      <c r="B21" s="102"/>
      <c r="C21" s="100" t="s">
        <v>206</v>
      </c>
      <c r="D21" s="101" t="e" cm="1">
        <f t="array" aca="1" ref="D21" ca="1">_xll.RiskMin(PDR_2)</f>
        <v>#NAME?</v>
      </c>
      <c r="E21" s="101" t="e" cm="1">
        <f t="array" aca="1" ref="E21" ca="1">_xll.RiskMin(ARD_2)</f>
        <v>#NAME?</v>
      </c>
      <c r="F21" s="101" t="e" cm="1">
        <f t="array" aca="1" ref="F21" ca="1">_xll.RiskMin(IRD_2)</f>
        <v>#NAME?</v>
      </c>
      <c r="G21" s="101" t="e" cm="1">
        <f t="array" aca="1" ref="G21" ca="1">_xll.RiskMin(CRD_2)</f>
        <v>#NAME?</v>
      </c>
      <c r="H21" s="101" t="e" cm="1">
        <f t="array" aca="1" ref="H21" ca="1">_xll.RiskMin(LCRD_2)</f>
        <v>#NAME?</v>
      </c>
    </row>
    <row r="22" spans="1:8" x14ac:dyDescent="0.35">
      <c r="A22" s="71"/>
      <c r="B22" s="102"/>
      <c r="C22" s="100" t="s">
        <v>207</v>
      </c>
      <c r="D22" s="101" t="e" cm="1">
        <f t="array" aca="1" ref="D22" ca="1">_xll.RiskMean(PDR_2)</f>
        <v>#NAME?</v>
      </c>
      <c r="E22" s="101" t="e" cm="1">
        <f t="array" aca="1" ref="E22" ca="1">_xll.RiskMean(ARD_2)</f>
        <v>#NAME?</v>
      </c>
      <c r="F22" s="101" t="e" cm="1">
        <f t="array" aca="1" ref="F22" ca="1">_xll.RiskMean(IRD_2)</f>
        <v>#NAME?</v>
      </c>
      <c r="G22" s="101" t="e" cm="1">
        <f t="array" aca="1" ref="G22" ca="1">_xll.RiskMean(CRD_2)</f>
        <v>#NAME?</v>
      </c>
      <c r="H22" s="101" t="e" cm="1">
        <f t="array" aca="1" ref="H22" ca="1">_xll.RiskMean(LCRD_2)</f>
        <v>#NAME?</v>
      </c>
    </row>
    <row r="23" spans="1:8" x14ac:dyDescent="0.35">
      <c r="A23" s="71" t="s">
        <v>69</v>
      </c>
      <c r="B23" s="102" t="str">
        <f>VLOOKUP(A23, 'OES Lookups'!$B$2:$C$19, 2, FALSE)</f>
        <v>Repackaging</v>
      </c>
      <c r="C23" s="100" t="s">
        <v>40</v>
      </c>
      <c r="D23" s="101" t="e" cm="1">
        <f t="array" aca="1" ref="D23" ca="1">_xll.RiskMax(PDR_3)</f>
        <v>#NAME?</v>
      </c>
      <c r="E23" s="101" t="e" cm="1">
        <f t="array" aca="1" ref="E23" ca="1">_xll.RiskMax(ARD_3)</f>
        <v>#NAME?</v>
      </c>
      <c r="F23" s="101" t="e" cm="1">
        <f t="array" aca="1" ref="F23" ca="1">_xll.RiskMax(IRD_3)</f>
        <v>#NAME?</v>
      </c>
      <c r="G23" s="101" t="e" cm="1">
        <f t="array" aca="1" ref="G23" ca="1">_xll.RiskMax(CRD_3)</f>
        <v>#NAME?</v>
      </c>
      <c r="H23" s="101" t="e" cm="1">
        <f t="array" aca="1" ref="H23" ca="1">_xll.RiskMax(LCRD_3)</f>
        <v>#NAME?</v>
      </c>
    </row>
    <row r="24" spans="1:8" x14ac:dyDescent="0.35">
      <c r="A24" s="71"/>
      <c r="B24" s="102"/>
      <c r="C24" s="100" t="s">
        <v>202</v>
      </c>
      <c r="D24" s="101" t="e" cm="1">
        <f t="array" aca="1" ref="D24" ca="1">_xll.RiskPercentile(PDR_3, 0.99)</f>
        <v>#NAME?</v>
      </c>
      <c r="E24" s="101" t="e" cm="1">
        <f t="array" aca="1" ref="E24" ca="1">_xll.RiskPercentile(ARD_3, 0.99)</f>
        <v>#NAME?</v>
      </c>
      <c r="F24" s="101" t="e" cm="1">
        <f t="array" aca="1" ref="F24" ca="1">_xll.RiskPercentile(IRD_3, 0.99)</f>
        <v>#NAME?</v>
      </c>
      <c r="G24" s="101" t="e" cm="1">
        <f t="array" aca="1" ref="G24" ca="1">_xll.RiskPercentile(CRD_3, 0.99)</f>
        <v>#NAME?</v>
      </c>
      <c r="H24" s="101" t="e" cm="1">
        <f t="array" aca="1" ref="H24" ca="1">_xll.RiskPercentile(LCRD_3, 0.99)</f>
        <v>#NAME?</v>
      </c>
    </row>
    <row r="25" spans="1:8" x14ac:dyDescent="0.35">
      <c r="A25" s="71"/>
      <c r="B25" s="102"/>
      <c r="C25" s="100" t="s">
        <v>203</v>
      </c>
      <c r="D25" s="101" t="e" cm="1">
        <f t="array" aca="1" ref="D25" ca="1">_xll.RiskPercentile(PDR_3, 0.95)</f>
        <v>#NAME?</v>
      </c>
      <c r="E25" s="101" t="e" cm="1">
        <f t="array" aca="1" ref="E25" ca="1">_xll.RiskPercentile(ARD_3, 0.95)</f>
        <v>#NAME?</v>
      </c>
      <c r="F25" s="101" t="e" cm="1">
        <f t="array" aca="1" ref="F25" ca="1">_xll.RiskPercentile(IRD_3, 0.95)</f>
        <v>#NAME?</v>
      </c>
      <c r="G25" s="101" t="e" cm="1">
        <f t="array" aca="1" ref="G25" ca="1">_xll.RiskPercentile(CRD_3, 0.95)</f>
        <v>#NAME?</v>
      </c>
      <c r="H25" s="101" t="e" cm="1">
        <f t="array" aca="1" ref="H25" ca="1">_xll.RiskPercentile(LCRD_3, 0.95)</f>
        <v>#NAME?</v>
      </c>
    </row>
    <row r="26" spans="1:8" x14ac:dyDescent="0.35">
      <c r="A26" s="71"/>
      <c r="B26" s="102"/>
      <c r="C26" s="100" t="s">
        <v>204</v>
      </c>
      <c r="D26" s="101" t="e" cm="1">
        <f t="array" aca="1" ref="D26" ca="1">_xll.RiskPercentile(PDR_3, 0.5)</f>
        <v>#NAME?</v>
      </c>
      <c r="E26" s="101" t="e" cm="1">
        <f t="array" aca="1" ref="E26" ca="1">_xll.RiskPercentile(ARD_3, 0.5)</f>
        <v>#NAME?</v>
      </c>
      <c r="F26" s="101" t="e" cm="1">
        <f t="array" aca="1" ref="F26" ca="1">_xll.RiskPercentile(IRD_3, 0.5)</f>
        <v>#NAME?</v>
      </c>
      <c r="G26" s="101" t="e" cm="1">
        <f t="array" aca="1" ref="G26" ca="1">_xll.RiskPercentile(CRD_3, 0.5)</f>
        <v>#NAME?</v>
      </c>
      <c r="H26" s="101" t="e" cm="1">
        <f t="array" aca="1" ref="H26" ca="1">_xll.RiskPercentile(LCRD_3, 0.5)</f>
        <v>#NAME?</v>
      </c>
    </row>
    <row r="27" spans="1:8" x14ac:dyDescent="0.35">
      <c r="A27" s="71"/>
      <c r="B27" s="102"/>
      <c r="C27" s="100" t="s">
        <v>205</v>
      </c>
      <c r="D27" s="101" t="e" cm="1">
        <f t="array" aca="1" ref="D27" ca="1">_xll.RiskPercentile(PDR_3, 0.05)</f>
        <v>#NAME?</v>
      </c>
      <c r="E27" s="101" t="e" cm="1">
        <f t="array" aca="1" ref="E27" ca="1">_xll.RiskPercentile(ARD_3, 0.05)</f>
        <v>#NAME?</v>
      </c>
      <c r="F27" s="101" t="e" cm="1">
        <f t="array" aca="1" ref="F27" ca="1">_xll.RiskPercentile(IRD_3, 0.05)</f>
        <v>#NAME?</v>
      </c>
      <c r="G27" s="101" t="e" cm="1">
        <f t="array" aca="1" ref="G27" ca="1">_xll.RiskPercentile(CRD_3, 0.05)</f>
        <v>#NAME?</v>
      </c>
      <c r="H27" s="101" t="e" cm="1">
        <f t="array" aca="1" ref="H27" ca="1">_xll.RiskPercentile(LCRD_3, 0.05)</f>
        <v>#NAME?</v>
      </c>
    </row>
    <row r="28" spans="1:8" x14ac:dyDescent="0.35">
      <c r="A28" s="71"/>
      <c r="B28" s="102"/>
      <c r="C28" s="100" t="s">
        <v>206</v>
      </c>
      <c r="D28" s="101" t="e" cm="1">
        <f t="array" aca="1" ref="D28" ca="1">_xll.RiskMin(PDR_3)</f>
        <v>#NAME?</v>
      </c>
      <c r="E28" s="101" t="e" cm="1">
        <f t="array" aca="1" ref="E28" ca="1">_xll.RiskMin(ARD_3)</f>
        <v>#NAME?</v>
      </c>
      <c r="F28" s="101" t="e" cm="1">
        <f t="array" aca="1" ref="F28" ca="1">_xll.RiskMin(IRD_3)</f>
        <v>#NAME?</v>
      </c>
      <c r="G28" s="101" t="e" cm="1">
        <f t="array" aca="1" ref="G28" ca="1">_xll.RiskMin(CRD_3)</f>
        <v>#NAME?</v>
      </c>
      <c r="H28" s="101" t="e" cm="1">
        <f t="array" aca="1" ref="H28" ca="1">_xll.RiskMin(LCRD_3)</f>
        <v>#NAME?</v>
      </c>
    </row>
    <row r="29" spans="1:8" x14ac:dyDescent="0.35">
      <c r="A29" s="71"/>
      <c r="B29" s="102"/>
      <c r="C29" s="100" t="s">
        <v>207</v>
      </c>
      <c r="D29" s="101" t="e" cm="1">
        <f t="array" aca="1" ref="D29" ca="1">_xll.RiskMean(PDR_3)</f>
        <v>#NAME?</v>
      </c>
      <c r="E29" s="101" t="e" cm="1">
        <f t="array" aca="1" ref="E29" ca="1">_xll.RiskMean(ARD_3)</f>
        <v>#NAME?</v>
      </c>
      <c r="F29" s="101" t="e" cm="1">
        <f t="array" aca="1" ref="F29" ca="1">_xll.RiskMean(IRD_3)</f>
        <v>#NAME?</v>
      </c>
      <c r="G29" s="101" t="e" cm="1">
        <f t="array" aca="1" ref="G29" ca="1">_xll.RiskMean(CRD_3)</f>
        <v>#NAME?</v>
      </c>
      <c r="H29" s="101" t="e" cm="1">
        <f t="array" aca="1" ref="H29" ca="1">_xll.RiskMean(LCRD_3)</f>
        <v>#NAME?</v>
      </c>
    </row>
    <row r="30" spans="1:8" x14ac:dyDescent="0.35">
      <c r="A30" s="71" t="s">
        <v>72</v>
      </c>
      <c r="B30" s="102" t="str">
        <f>VLOOKUP(A30, 'OES Lookups'!$B$2:$C$19, 2, FALSE)</f>
        <v>Processing as a reactant</v>
      </c>
      <c r="C30" s="100" t="s">
        <v>40</v>
      </c>
      <c r="D30" s="101" t="e" cm="1">
        <f t="array" aca="1" ref="D30" ca="1">_xll.RiskMax(PDR_4)</f>
        <v>#NAME?</v>
      </c>
      <c r="E30" s="101" t="e" cm="1">
        <f t="array" aca="1" ref="E30" ca="1">_xll.RiskMax(ARD_4)</f>
        <v>#NAME?</v>
      </c>
      <c r="F30" s="101" t="e" cm="1">
        <f t="array" aca="1" ref="F30" ca="1">_xll.RiskMax(IRD_4)</f>
        <v>#NAME?</v>
      </c>
      <c r="G30" s="101" t="e" cm="1">
        <f t="array" aca="1" ref="G30" ca="1">_xll.RiskMax(CRD_4)</f>
        <v>#NAME?</v>
      </c>
      <c r="H30" s="101" t="e" cm="1">
        <f t="array" aca="1" ref="H30" ca="1">_xll.RiskMax(LCRD_4)</f>
        <v>#NAME?</v>
      </c>
    </row>
    <row r="31" spans="1:8" x14ac:dyDescent="0.35">
      <c r="A31" s="71"/>
      <c r="B31" s="102"/>
      <c r="C31" s="100" t="s">
        <v>202</v>
      </c>
      <c r="D31" s="101" t="e" cm="1">
        <f t="array" aca="1" ref="D31" ca="1">_xll.RiskPercentile(PDR_4, 0.99)</f>
        <v>#NAME?</v>
      </c>
      <c r="E31" s="101" t="e" cm="1">
        <f t="array" aca="1" ref="E31" ca="1">_xll.RiskPercentile(ARD_4, 0.99)</f>
        <v>#NAME?</v>
      </c>
      <c r="F31" s="101" t="e" cm="1">
        <f t="array" aca="1" ref="F31" ca="1">_xll.RiskPercentile(IRD_4, 0.99)</f>
        <v>#NAME?</v>
      </c>
      <c r="G31" s="101" t="e" cm="1">
        <f t="array" aca="1" ref="G31" ca="1">_xll.RiskPercentile(CRD_4, 0.99)</f>
        <v>#NAME?</v>
      </c>
      <c r="H31" s="101" t="e" cm="1">
        <f t="array" aca="1" ref="H31" ca="1">_xll.RiskPercentile(LCRD_4, 0.99)</f>
        <v>#NAME?</v>
      </c>
    </row>
    <row r="32" spans="1:8" x14ac:dyDescent="0.35">
      <c r="A32" s="71"/>
      <c r="B32" s="102"/>
      <c r="C32" s="100" t="s">
        <v>203</v>
      </c>
      <c r="D32" s="101" t="e" cm="1">
        <f t="array" aca="1" ref="D32" ca="1">_xll.RiskPercentile(PDR_4, 0.95)</f>
        <v>#NAME?</v>
      </c>
      <c r="E32" s="101" t="e" cm="1">
        <f t="array" aca="1" ref="E32" ca="1">_xll.RiskPercentile(ARD_4, 0.95)</f>
        <v>#NAME?</v>
      </c>
      <c r="F32" s="101" t="e" cm="1">
        <f t="array" aca="1" ref="F32" ca="1">_xll.RiskPercentile(IRD_4, 0.95)</f>
        <v>#NAME?</v>
      </c>
      <c r="G32" s="101" t="e" cm="1">
        <f t="array" aca="1" ref="G32" ca="1">_xll.RiskPercentile(CRD_4, 0.95)</f>
        <v>#NAME?</v>
      </c>
      <c r="H32" s="101" t="e" cm="1">
        <f t="array" aca="1" ref="H32" ca="1">_xll.RiskPercentile(LCRD_4, 0.95)</f>
        <v>#NAME?</v>
      </c>
    </row>
    <row r="33" spans="1:8" x14ac:dyDescent="0.35">
      <c r="A33" s="71"/>
      <c r="B33" s="102"/>
      <c r="C33" s="100" t="s">
        <v>204</v>
      </c>
      <c r="D33" s="101" t="e" cm="1">
        <f t="array" aca="1" ref="D33" ca="1">_xll.RiskPercentile(PDR_4, 0.5)</f>
        <v>#NAME?</v>
      </c>
      <c r="E33" s="101" t="e" cm="1">
        <f t="array" aca="1" ref="E33" ca="1">_xll.RiskPercentile(ARD_4, 0.5)</f>
        <v>#NAME?</v>
      </c>
      <c r="F33" s="101" t="e" cm="1">
        <f t="array" aca="1" ref="F33" ca="1">_xll.RiskPercentile(IRD_4, 0.5)</f>
        <v>#NAME?</v>
      </c>
      <c r="G33" s="101" t="e" cm="1">
        <f t="array" aca="1" ref="G33" ca="1">_xll.RiskPercentile(CRD_4, 0.5)</f>
        <v>#NAME?</v>
      </c>
      <c r="H33" s="101" t="e" cm="1">
        <f t="array" aca="1" ref="H33" ca="1">_xll.RiskPercentile(LCRD_4, 0.5)</f>
        <v>#NAME?</v>
      </c>
    </row>
    <row r="34" spans="1:8" x14ac:dyDescent="0.35">
      <c r="A34" s="71"/>
      <c r="B34" s="102"/>
      <c r="C34" s="100" t="s">
        <v>205</v>
      </c>
      <c r="D34" s="101" t="e" cm="1">
        <f t="array" aca="1" ref="D34" ca="1">_xll.RiskPercentile(PDR_4, 0.05)</f>
        <v>#NAME?</v>
      </c>
      <c r="E34" s="101" t="e" cm="1">
        <f t="array" aca="1" ref="E34" ca="1">_xll.RiskPercentile(ARD_4, 0.05)</f>
        <v>#NAME?</v>
      </c>
      <c r="F34" s="101" t="e" cm="1">
        <f t="array" aca="1" ref="F34" ca="1">_xll.RiskPercentile(IRD_4, 0.05)</f>
        <v>#NAME?</v>
      </c>
      <c r="G34" s="101" t="e" cm="1">
        <f t="array" aca="1" ref="G34" ca="1">_xll.RiskPercentile(CRD_4, 0.05)</f>
        <v>#NAME?</v>
      </c>
      <c r="H34" s="101" t="e" cm="1">
        <f t="array" aca="1" ref="H34" ca="1">_xll.RiskPercentile(LCRD_4, 0.05)</f>
        <v>#NAME?</v>
      </c>
    </row>
    <row r="35" spans="1:8" x14ac:dyDescent="0.35">
      <c r="A35" s="71"/>
      <c r="B35" s="102"/>
      <c r="C35" s="100" t="s">
        <v>206</v>
      </c>
      <c r="D35" s="101" t="e" cm="1">
        <f t="array" aca="1" ref="D35" ca="1">_xll.RiskMin(PDR_4)</f>
        <v>#NAME?</v>
      </c>
      <c r="E35" s="101" t="e" cm="1">
        <f t="array" aca="1" ref="E35" ca="1">_xll.RiskMin(ARD_4)</f>
        <v>#NAME?</v>
      </c>
      <c r="F35" s="101" t="e" cm="1">
        <f t="array" aca="1" ref="F35" ca="1">_xll.RiskMin(IRD_4)</f>
        <v>#NAME?</v>
      </c>
      <c r="G35" s="101" t="e" cm="1">
        <f t="array" aca="1" ref="G35" ca="1">_xll.RiskMin(CRD_4)</f>
        <v>#NAME?</v>
      </c>
      <c r="H35" s="101" t="e" cm="1">
        <f t="array" aca="1" ref="H35" ca="1">_xll.RiskMin(LCRD_4)</f>
        <v>#NAME?</v>
      </c>
    </row>
    <row r="36" spans="1:8" x14ac:dyDescent="0.35">
      <c r="A36" s="71"/>
      <c r="B36" s="102"/>
      <c r="C36" s="100" t="s">
        <v>207</v>
      </c>
      <c r="D36" s="101" t="e" cm="1">
        <f t="array" aca="1" ref="D36" ca="1">_xll.RiskMean(PDR_4)</f>
        <v>#NAME?</v>
      </c>
      <c r="E36" s="101" t="e" cm="1">
        <f t="array" aca="1" ref="E36" ca="1">_xll.RiskMean(ARD_4)</f>
        <v>#NAME?</v>
      </c>
      <c r="F36" s="101" t="e" cm="1">
        <f t="array" aca="1" ref="F36" ca="1">_xll.RiskMean(IRD_4)</f>
        <v>#NAME?</v>
      </c>
      <c r="G36" s="101" t="e" cm="1">
        <f t="array" aca="1" ref="G36" ca="1">_xll.RiskMean(CRD_4)</f>
        <v>#NAME?</v>
      </c>
      <c r="H36" s="101" t="e" cm="1">
        <f t="array" aca="1" ref="H36" ca="1">_xll.RiskMean(LCRD_4)</f>
        <v>#NAME?</v>
      </c>
    </row>
    <row r="37" spans="1:8" x14ac:dyDescent="0.35">
      <c r="A37" s="71" t="s">
        <v>75</v>
      </c>
      <c r="B37" s="102" t="str">
        <f>VLOOKUP(A37, 'OES Lookups'!$B$2:$C$19, 2, FALSE)</f>
        <v>Processing into formulation, mixture, or reaction product</v>
      </c>
      <c r="C37" s="100" t="s">
        <v>40</v>
      </c>
      <c r="D37" s="101" t="e" cm="1">
        <f t="array" aca="1" ref="D37" ca="1">_xll.RiskMax(PDR_5)</f>
        <v>#NAME?</v>
      </c>
      <c r="E37" s="101" t="e" cm="1">
        <f t="array" aca="1" ref="E37" ca="1">_xll.RiskMax(ARD_5)</f>
        <v>#NAME?</v>
      </c>
      <c r="F37" s="101" t="e" cm="1">
        <f t="array" aca="1" ref="F37" ca="1">_xll.RiskMax(IRD_5)</f>
        <v>#NAME?</v>
      </c>
      <c r="G37" s="101" t="e" cm="1">
        <f t="array" aca="1" ref="G37" ca="1">_xll.RiskMax(CRD_5)</f>
        <v>#NAME?</v>
      </c>
      <c r="H37" s="101" t="e" cm="1">
        <f t="array" aca="1" ref="H37" ca="1">_xll.RiskMax(LCRD_5)</f>
        <v>#NAME?</v>
      </c>
    </row>
    <row r="38" spans="1:8" x14ac:dyDescent="0.35">
      <c r="A38" s="71"/>
      <c r="B38" s="102"/>
      <c r="C38" s="100" t="s">
        <v>202</v>
      </c>
      <c r="D38" s="101" t="e" cm="1">
        <f t="array" aca="1" ref="D38" ca="1">_xll.RiskPercentile(PDR_5, 0.99)</f>
        <v>#NAME?</v>
      </c>
      <c r="E38" s="101" t="e" cm="1">
        <f t="array" aca="1" ref="E38" ca="1">_xll.RiskPercentile(ARD_5, 0.99)</f>
        <v>#NAME?</v>
      </c>
      <c r="F38" s="101" t="e" cm="1">
        <f t="array" aca="1" ref="F38" ca="1">_xll.RiskPercentile(IRD_5, 0.99)</f>
        <v>#NAME?</v>
      </c>
      <c r="G38" s="101" t="e" cm="1">
        <f t="array" aca="1" ref="G38" ca="1">_xll.RiskPercentile(CRD_5, 0.99)</f>
        <v>#NAME?</v>
      </c>
      <c r="H38" s="101" t="e" cm="1">
        <f t="array" aca="1" ref="H38" ca="1">_xll.RiskPercentile(LCRD_5, 0.99)</f>
        <v>#NAME?</v>
      </c>
    </row>
    <row r="39" spans="1:8" x14ac:dyDescent="0.35">
      <c r="A39" s="71"/>
      <c r="B39" s="102"/>
      <c r="C39" s="100" t="s">
        <v>203</v>
      </c>
      <c r="D39" s="101" t="e" cm="1">
        <f t="array" aca="1" ref="D39" ca="1">_xll.RiskPercentile(PDR_5, 0.95)</f>
        <v>#NAME?</v>
      </c>
      <c r="E39" s="101" t="e" cm="1">
        <f t="array" aca="1" ref="E39" ca="1">_xll.RiskPercentile(ARD_5, 0.95)</f>
        <v>#NAME?</v>
      </c>
      <c r="F39" s="101" t="e" cm="1">
        <f t="array" aca="1" ref="F39" ca="1">_xll.RiskPercentile(IRD_5, 0.95)</f>
        <v>#NAME?</v>
      </c>
      <c r="G39" s="101" t="e" cm="1">
        <f t="array" aca="1" ref="G39" ca="1">_xll.RiskPercentile(CRD_5, 0.95)</f>
        <v>#NAME?</v>
      </c>
      <c r="H39" s="101" t="e" cm="1">
        <f t="array" aca="1" ref="H39" ca="1">_xll.RiskPercentile(LCRD_5, 0.95)</f>
        <v>#NAME?</v>
      </c>
    </row>
    <row r="40" spans="1:8" x14ac:dyDescent="0.35">
      <c r="A40" s="71"/>
      <c r="B40" s="102"/>
      <c r="C40" s="100" t="s">
        <v>204</v>
      </c>
      <c r="D40" s="101" t="e" cm="1">
        <f t="array" aca="1" ref="D40" ca="1">_xll.RiskPercentile(PDR_5, 0.5)</f>
        <v>#NAME?</v>
      </c>
      <c r="E40" s="101" t="e" cm="1">
        <f t="array" aca="1" ref="E40" ca="1">_xll.RiskPercentile(ARD_5, 0.5)</f>
        <v>#NAME?</v>
      </c>
      <c r="F40" s="101" t="e" cm="1">
        <f t="array" aca="1" ref="F40" ca="1">_xll.RiskPercentile(IRD_5, 0.5)</f>
        <v>#NAME?</v>
      </c>
      <c r="G40" s="101" t="e" cm="1">
        <f t="array" aca="1" ref="G40" ca="1">_xll.RiskPercentile(CRD_5, 0.5)</f>
        <v>#NAME?</v>
      </c>
      <c r="H40" s="101" t="e" cm="1">
        <f t="array" aca="1" ref="H40" ca="1">_xll.RiskPercentile(LCRD_5, 0.5)</f>
        <v>#NAME?</v>
      </c>
    </row>
    <row r="41" spans="1:8" x14ac:dyDescent="0.35">
      <c r="A41" s="71"/>
      <c r="B41" s="102"/>
      <c r="C41" s="100" t="s">
        <v>205</v>
      </c>
      <c r="D41" s="101" t="e" cm="1">
        <f t="array" aca="1" ref="D41" ca="1">_xll.RiskPercentile(PDR_5, 0.05)</f>
        <v>#NAME?</v>
      </c>
      <c r="E41" s="101" t="e" cm="1">
        <f t="array" aca="1" ref="E41" ca="1">_xll.RiskPercentile(ARD_5, 0.05)</f>
        <v>#NAME?</v>
      </c>
      <c r="F41" s="101" t="e" cm="1">
        <f t="array" aca="1" ref="F41" ca="1">_xll.RiskPercentile(IRD_5, 0.05)</f>
        <v>#NAME?</v>
      </c>
      <c r="G41" s="101" t="e" cm="1">
        <f t="array" aca="1" ref="G41" ca="1">_xll.RiskPercentile(CRD_5, 0.05)</f>
        <v>#NAME?</v>
      </c>
      <c r="H41" s="101" t="e" cm="1">
        <f t="array" aca="1" ref="H41" ca="1">_xll.RiskPercentile(LCRD_5, 0.05)</f>
        <v>#NAME?</v>
      </c>
    </row>
    <row r="42" spans="1:8" x14ac:dyDescent="0.35">
      <c r="A42" s="71"/>
      <c r="B42" s="102"/>
      <c r="C42" s="100" t="s">
        <v>206</v>
      </c>
      <c r="D42" s="101" t="e" cm="1">
        <f t="array" aca="1" ref="D42" ca="1">_xll.RiskMin(PDR_5)</f>
        <v>#NAME?</v>
      </c>
      <c r="E42" s="101" t="e" cm="1">
        <f t="array" aca="1" ref="E42" ca="1">_xll.RiskMin(ARD_5)</f>
        <v>#NAME?</v>
      </c>
      <c r="F42" s="101" t="e" cm="1">
        <f t="array" aca="1" ref="F42" ca="1">_xll.RiskMin(IRD_5)</f>
        <v>#NAME?</v>
      </c>
      <c r="G42" s="101" t="e" cm="1">
        <f t="array" aca="1" ref="G42" ca="1">_xll.RiskMin(CRD_5)</f>
        <v>#NAME?</v>
      </c>
      <c r="H42" s="101" t="e" cm="1">
        <f t="array" aca="1" ref="H42" ca="1">_xll.RiskMin(LCRD_5)</f>
        <v>#NAME?</v>
      </c>
    </row>
    <row r="43" spans="1:8" x14ac:dyDescent="0.35">
      <c r="A43" s="71"/>
      <c r="B43" s="102"/>
      <c r="C43" s="100" t="s">
        <v>207</v>
      </c>
      <c r="D43" s="101" t="e" cm="1">
        <f t="array" aca="1" ref="D43" ca="1">_xll.RiskMean(PDR_5)</f>
        <v>#NAME?</v>
      </c>
      <c r="E43" s="101" t="e" cm="1">
        <f t="array" aca="1" ref="E43" ca="1">_xll.RiskMean(ARD_5)</f>
        <v>#NAME?</v>
      </c>
      <c r="F43" s="101" t="e" cm="1">
        <f t="array" aca="1" ref="F43" ca="1">_xll.RiskMean(IRD_5)</f>
        <v>#NAME?</v>
      </c>
      <c r="G43" s="101" t="e" cm="1">
        <f t="array" aca="1" ref="G43" ca="1">_xll.RiskMean(CRD_5)</f>
        <v>#NAME?</v>
      </c>
      <c r="H43" s="101" t="e" cm="1">
        <f t="array" aca="1" ref="H43" ca="1">_xll.RiskMean(LCRD_5)</f>
        <v>#NAME?</v>
      </c>
    </row>
    <row r="44" spans="1:8" x14ac:dyDescent="0.35">
      <c r="A44" s="71" t="s">
        <v>78</v>
      </c>
      <c r="B44" s="102" t="str">
        <f>VLOOKUP(A44, 'OES Lookups'!$B$2:$C$19, 2, FALSE)</f>
        <v>Vapor degreasing</v>
      </c>
      <c r="C44" s="100" t="s">
        <v>40</v>
      </c>
      <c r="D44" s="101" t="e" cm="1">
        <f t="array" aca="1" ref="D44" ca="1">_xll.RiskMax(PDR_6)</f>
        <v>#NAME?</v>
      </c>
      <c r="E44" s="101" t="e" cm="1">
        <f t="array" aca="1" ref="E44" ca="1">_xll.RiskMax(ARD_6)</f>
        <v>#NAME?</v>
      </c>
      <c r="F44" s="101" t="e" cm="1">
        <f t="array" aca="1" ref="F44" ca="1">_xll.RiskMax(IRD_6)</f>
        <v>#NAME?</v>
      </c>
      <c r="G44" s="101" t="e" cm="1">
        <f t="array" aca="1" ref="G44" ca="1">_xll.RiskMax(CRD_6)</f>
        <v>#NAME?</v>
      </c>
      <c r="H44" s="101" t="e" cm="1">
        <f t="array" aca="1" ref="H44" ca="1">_xll.RiskMax(LCRD_6)</f>
        <v>#NAME?</v>
      </c>
    </row>
    <row r="45" spans="1:8" x14ac:dyDescent="0.35">
      <c r="A45" s="71"/>
      <c r="B45" s="102"/>
      <c r="C45" s="100" t="s">
        <v>202</v>
      </c>
      <c r="D45" s="101" t="e" cm="1">
        <f t="array" aca="1" ref="D45" ca="1">_xll.RiskPercentile(PDR_6, 0.99)</f>
        <v>#NAME?</v>
      </c>
      <c r="E45" s="101" t="e" cm="1">
        <f t="array" aca="1" ref="E45" ca="1">_xll.RiskPercentile(ARD_6, 0.99)</f>
        <v>#NAME?</v>
      </c>
      <c r="F45" s="101" t="e" cm="1">
        <f t="array" aca="1" ref="F45" ca="1">_xll.RiskPercentile(IRD_6, 0.99)</f>
        <v>#NAME?</v>
      </c>
      <c r="G45" s="101" t="e" cm="1">
        <f t="array" aca="1" ref="G45" ca="1">_xll.RiskPercentile(CRD_6, 0.99)</f>
        <v>#NAME?</v>
      </c>
      <c r="H45" s="101" t="e" cm="1">
        <f t="array" aca="1" ref="H45" ca="1">_xll.RiskPercentile(LCRD_6, 0.99)</f>
        <v>#NAME?</v>
      </c>
    </row>
    <row r="46" spans="1:8" x14ac:dyDescent="0.35">
      <c r="A46" s="71"/>
      <c r="B46" s="102"/>
      <c r="C46" s="100" t="s">
        <v>203</v>
      </c>
      <c r="D46" s="101" t="e" cm="1">
        <f t="array" aca="1" ref="D46" ca="1">_xll.RiskPercentile(PDR_6, 0.95)</f>
        <v>#NAME?</v>
      </c>
      <c r="E46" s="101" t="e" cm="1">
        <f t="array" aca="1" ref="E46" ca="1">_xll.RiskPercentile(ARD_6, 0.95)</f>
        <v>#NAME?</v>
      </c>
      <c r="F46" s="101" t="e" cm="1">
        <f t="array" aca="1" ref="F46" ca="1">_xll.RiskPercentile(IRD_6, 0.95)</f>
        <v>#NAME?</v>
      </c>
      <c r="G46" s="101" t="e" cm="1">
        <f t="array" aca="1" ref="G46" ca="1">_xll.RiskPercentile(CRD_6, 0.95)</f>
        <v>#NAME?</v>
      </c>
      <c r="H46" s="101" t="e" cm="1">
        <f t="array" aca="1" ref="H46" ca="1">_xll.RiskPercentile(LCRD_6, 0.95)</f>
        <v>#NAME?</v>
      </c>
    </row>
    <row r="47" spans="1:8" x14ac:dyDescent="0.35">
      <c r="A47" s="71"/>
      <c r="B47" s="102"/>
      <c r="C47" s="100" t="s">
        <v>204</v>
      </c>
      <c r="D47" s="101" t="e" cm="1">
        <f t="array" aca="1" ref="D47" ca="1">_xll.RiskPercentile(PDR_6, 0.5)</f>
        <v>#NAME?</v>
      </c>
      <c r="E47" s="101" t="e" cm="1">
        <f t="array" aca="1" ref="E47" ca="1">_xll.RiskPercentile(ARD_6, 0.5)</f>
        <v>#NAME?</v>
      </c>
      <c r="F47" s="101" t="e" cm="1">
        <f t="array" aca="1" ref="F47" ca="1">_xll.RiskPercentile(IRD_6, 0.5)</f>
        <v>#NAME?</v>
      </c>
      <c r="G47" s="101" t="e" cm="1">
        <f t="array" aca="1" ref="G47" ca="1">_xll.RiskPercentile(CRD_6, 0.5)</f>
        <v>#NAME?</v>
      </c>
      <c r="H47" s="101" t="e" cm="1">
        <f t="array" aca="1" ref="H47" ca="1">_xll.RiskPercentile(LCRD_6, 0.5)</f>
        <v>#NAME?</v>
      </c>
    </row>
    <row r="48" spans="1:8" x14ac:dyDescent="0.35">
      <c r="A48" s="71"/>
      <c r="B48" s="102"/>
      <c r="C48" s="100" t="s">
        <v>205</v>
      </c>
      <c r="D48" s="101" t="e" cm="1">
        <f t="array" aca="1" ref="D48" ca="1">_xll.RiskPercentile(PDR_6, 0.05)</f>
        <v>#NAME?</v>
      </c>
      <c r="E48" s="101" t="e" cm="1">
        <f t="array" aca="1" ref="E48" ca="1">_xll.RiskPercentile(ARD_6, 0.05)</f>
        <v>#NAME?</v>
      </c>
      <c r="F48" s="101" t="e" cm="1">
        <f t="array" aca="1" ref="F48" ca="1">_xll.RiskPercentile(IRD_6, 0.05)</f>
        <v>#NAME?</v>
      </c>
      <c r="G48" s="101" t="e" cm="1">
        <f t="array" aca="1" ref="G48" ca="1">_xll.RiskPercentile(CRD_6, 0.05)</f>
        <v>#NAME?</v>
      </c>
      <c r="H48" s="101" t="e" cm="1">
        <f t="array" aca="1" ref="H48" ca="1">_xll.RiskPercentile(LCRD_6, 0.05)</f>
        <v>#NAME?</v>
      </c>
    </row>
    <row r="49" spans="1:8" x14ac:dyDescent="0.35">
      <c r="A49" s="71"/>
      <c r="B49" s="102"/>
      <c r="C49" s="100" t="s">
        <v>206</v>
      </c>
      <c r="D49" s="101" t="e" cm="1">
        <f t="array" aca="1" ref="D49" ca="1">_xll.RiskMin(PDR_6)</f>
        <v>#NAME?</v>
      </c>
      <c r="E49" s="101" t="e" cm="1">
        <f t="array" aca="1" ref="E49" ca="1">_xll.RiskMin(ARD_6)</f>
        <v>#NAME?</v>
      </c>
      <c r="F49" s="101" t="e" cm="1">
        <f t="array" aca="1" ref="F49" ca="1">_xll.RiskMin(IRD_6)</f>
        <v>#NAME?</v>
      </c>
      <c r="G49" s="101" t="e" cm="1">
        <f t="array" aca="1" ref="G49" ca="1">_xll.RiskMin(CRD_6)</f>
        <v>#NAME?</v>
      </c>
      <c r="H49" s="101" t="e" cm="1">
        <f t="array" aca="1" ref="H49" ca="1">_xll.RiskMin(LCRD_6)</f>
        <v>#NAME?</v>
      </c>
    </row>
    <row r="50" spans="1:8" x14ac:dyDescent="0.35">
      <c r="A50" s="71"/>
      <c r="B50" s="102"/>
      <c r="C50" s="100" t="s">
        <v>207</v>
      </c>
      <c r="D50" s="101" t="e" cm="1">
        <f t="array" aca="1" ref="D50" ca="1">_xll.RiskMean(PDR_6)</f>
        <v>#NAME?</v>
      </c>
      <c r="E50" s="101" t="e" cm="1">
        <f t="array" aca="1" ref="E50" ca="1">_xll.RiskMean(ARD_6)</f>
        <v>#NAME?</v>
      </c>
      <c r="F50" s="101" t="e" cm="1">
        <f t="array" aca="1" ref="F50" ca="1">_xll.RiskMean(IRD_6)</f>
        <v>#NAME?</v>
      </c>
      <c r="G50" s="101" t="e" cm="1">
        <f t="array" aca="1" ref="G50" ca="1">_xll.RiskMean(CRD_6)</f>
        <v>#NAME?</v>
      </c>
      <c r="H50" s="101" t="e" cm="1">
        <f t="array" aca="1" ref="H50" ca="1">_xll.RiskMean(LCRD_6)</f>
        <v>#NAME?</v>
      </c>
    </row>
    <row r="51" spans="1:8" x14ac:dyDescent="0.35">
      <c r="A51" s="71" t="s">
        <v>83</v>
      </c>
      <c r="B51" s="102" t="str">
        <f>VLOOKUP(A51, 'OES Lookups'!$B$2:$C$19, 2, FALSE)</f>
        <v>Commercial aerosol products (aerosol degreasing, aerosol lubricants, automotive care products)</v>
      </c>
      <c r="C51" s="100" t="s">
        <v>40</v>
      </c>
      <c r="D51" s="101" t="e" cm="1">
        <f t="array" aca="1" ref="D51" ca="1">_xll.RiskMax(PDR_7)</f>
        <v>#NAME?</v>
      </c>
      <c r="E51" s="101" t="e" cm="1">
        <f t="array" aca="1" ref="E51" ca="1">_xll.RiskMax(ARD_7)</f>
        <v>#NAME?</v>
      </c>
      <c r="F51" s="101" t="e" cm="1">
        <f t="array" aca="1" ref="F51" ca="1">_xll.RiskMax(IRD_7)</f>
        <v>#NAME?</v>
      </c>
      <c r="G51" s="101" t="e" cm="1">
        <f t="array" aca="1" ref="G51" ca="1">_xll.RiskMax(CRD_7)</f>
        <v>#NAME?</v>
      </c>
      <c r="H51" s="101" t="e" cm="1">
        <f t="array" aca="1" ref="H51" ca="1">_xll.RiskMax(LCRD_7)</f>
        <v>#NAME?</v>
      </c>
    </row>
    <row r="52" spans="1:8" x14ac:dyDescent="0.35">
      <c r="A52" s="71"/>
      <c r="B52" s="102"/>
      <c r="C52" s="100" t="s">
        <v>202</v>
      </c>
      <c r="D52" s="101" t="e" cm="1">
        <f t="array" aca="1" ref="D52" ca="1">_xll.RiskPercentile(PDR_7, 0.99)</f>
        <v>#NAME?</v>
      </c>
      <c r="E52" s="101" t="e" cm="1">
        <f t="array" aca="1" ref="E52" ca="1">_xll.RiskPercentile(ARD_7, 0.99)</f>
        <v>#NAME?</v>
      </c>
      <c r="F52" s="101" t="e" cm="1">
        <f t="array" aca="1" ref="F52" ca="1">_xll.RiskPercentile(IRD_7, 0.99)</f>
        <v>#NAME?</v>
      </c>
      <c r="G52" s="101" t="e" cm="1">
        <f t="array" aca="1" ref="G52" ca="1">_xll.RiskPercentile(CRD_7, 0.99)</f>
        <v>#NAME?</v>
      </c>
      <c r="H52" s="101" t="e" cm="1">
        <f t="array" aca="1" ref="H52" ca="1">_xll.RiskPercentile(LCRD_7, 0.99)</f>
        <v>#NAME?</v>
      </c>
    </row>
    <row r="53" spans="1:8" x14ac:dyDescent="0.35">
      <c r="A53" s="71"/>
      <c r="B53" s="102"/>
      <c r="C53" s="100" t="s">
        <v>203</v>
      </c>
      <c r="D53" s="101" t="e" cm="1">
        <f t="array" aca="1" ref="D53" ca="1">_xll.RiskPercentile(PDR_7, 0.95)</f>
        <v>#NAME?</v>
      </c>
      <c r="E53" s="101" t="e" cm="1">
        <f t="array" aca="1" ref="E53" ca="1">_xll.RiskPercentile(ARD_7, 0.95)</f>
        <v>#NAME?</v>
      </c>
      <c r="F53" s="101" t="e" cm="1">
        <f t="array" aca="1" ref="F53" ca="1">_xll.RiskPercentile(IRD_7, 0.95)</f>
        <v>#NAME?</v>
      </c>
      <c r="G53" s="101" t="e" cm="1">
        <f t="array" aca="1" ref="G53" ca="1">_xll.RiskPercentile(CRD_7, 0.95)</f>
        <v>#NAME?</v>
      </c>
      <c r="H53" s="101" t="e" cm="1">
        <f t="array" aca="1" ref="H53" ca="1">_xll.RiskPercentile(LCRD_7, 0.95)</f>
        <v>#NAME?</v>
      </c>
    </row>
    <row r="54" spans="1:8" x14ac:dyDescent="0.35">
      <c r="A54" s="71"/>
      <c r="B54" s="102"/>
      <c r="C54" s="100" t="s">
        <v>204</v>
      </c>
      <c r="D54" s="101" t="e" cm="1">
        <f t="array" aca="1" ref="D54" ca="1">_xll.RiskPercentile(PDR_7, 0.5)</f>
        <v>#NAME?</v>
      </c>
      <c r="E54" s="101" t="e" cm="1">
        <f t="array" aca="1" ref="E54" ca="1">_xll.RiskPercentile(ARD_7, 0.5)</f>
        <v>#NAME?</v>
      </c>
      <c r="F54" s="101" t="e" cm="1">
        <f t="array" aca="1" ref="F54" ca="1">_xll.RiskPercentile(IRD_7, 0.5)</f>
        <v>#NAME?</v>
      </c>
      <c r="G54" s="101" t="e" cm="1">
        <f t="array" aca="1" ref="G54" ca="1">_xll.RiskPercentile(CRD_7, 0.5)</f>
        <v>#NAME?</v>
      </c>
      <c r="H54" s="101" t="e" cm="1">
        <f t="array" aca="1" ref="H54" ca="1">_xll.RiskPercentile(LCRD_7, 0.5)</f>
        <v>#NAME?</v>
      </c>
    </row>
    <row r="55" spans="1:8" x14ac:dyDescent="0.35">
      <c r="A55" s="71"/>
      <c r="B55" s="102"/>
      <c r="C55" s="100" t="s">
        <v>205</v>
      </c>
      <c r="D55" s="101" t="e" cm="1">
        <f t="array" aca="1" ref="D55" ca="1">_xll.RiskPercentile(PDR_7, 0.05)</f>
        <v>#NAME?</v>
      </c>
      <c r="E55" s="101" t="e" cm="1">
        <f t="array" aca="1" ref="E55" ca="1">_xll.RiskPercentile(ARD_7, 0.05)</f>
        <v>#NAME?</v>
      </c>
      <c r="F55" s="101" t="e" cm="1">
        <f t="array" aca="1" ref="F55" ca="1">_xll.RiskPercentile(IRD_7, 0.05)</f>
        <v>#NAME?</v>
      </c>
      <c r="G55" s="101" t="e" cm="1">
        <f t="array" aca="1" ref="G55" ca="1">_xll.RiskPercentile(CRD_7, 0.05)</f>
        <v>#NAME?</v>
      </c>
      <c r="H55" s="101" t="e" cm="1">
        <f t="array" aca="1" ref="H55" ca="1">_xll.RiskPercentile(LCRD_7, 0.05)</f>
        <v>#NAME?</v>
      </c>
    </row>
    <row r="56" spans="1:8" x14ac:dyDescent="0.35">
      <c r="A56" s="71"/>
      <c r="B56" s="102"/>
      <c r="C56" s="100" t="s">
        <v>206</v>
      </c>
      <c r="D56" s="101" t="e" cm="1">
        <f t="array" aca="1" ref="D56" ca="1">_xll.RiskMin(PDR_7)</f>
        <v>#NAME?</v>
      </c>
      <c r="E56" s="101" t="e" cm="1">
        <f t="array" aca="1" ref="E56" ca="1">_xll.RiskMin(ARD_7)</f>
        <v>#NAME?</v>
      </c>
      <c r="F56" s="101" t="e" cm="1">
        <f t="array" aca="1" ref="F56" ca="1">_xll.RiskMin(IRD_7)</f>
        <v>#NAME?</v>
      </c>
      <c r="G56" s="101" t="e" cm="1">
        <f t="array" aca="1" ref="G56" ca="1">_xll.RiskMin(CRD_7)</f>
        <v>#NAME?</v>
      </c>
      <c r="H56" s="101" t="e" cm="1">
        <f t="array" aca="1" ref="H56" ca="1">_xll.RiskMin(LCRD_7)</f>
        <v>#NAME?</v>
      </c>
    </row>
    <row r="57" spans="1:8" x14ac:dyDescent="0.35">
      <c r="A57" s="71"/>
      <c r="B57" s="102"/>
      <c r="C57" s="100" t="s">
        <v>207</v>
      </c>
      <c r="D57" s="101" t="e" cm="1">
        <f t="array" aca="1" ref="D57" ca="1">_xll.RiskMean(PDR_7)</f>
        <v>#NAME?</v>
      </c>
      <c r="E57" s="101" t="e" cm="1">
        <f t="array" aca="1" ref="E57" ca="1">_xll.RiskMean(ARD_7)</f>
        <v>#NAME?</v>
      </c>
      <c r="F57" s="101" t="e" cm="1">
        <f t="array" aca="1" ref="F57" ca="1">_xll.RiskMean(IRD_7)</f>
        <v>#NAME?</v>
      </c>
      <c r="G57" s="101" t="e" cm="1">
        <f t="array" aca="1" ref="G57" ca="1">_xll.RiskMean(CRD_7)</f>
        <v>#NAME?</v>
      </c>
      <c r="H57" s="101" t="e" cm="1">
        <f t="array" aca="1" ref="H57" ca="1">_xll.RiskMean(LCRD_7)</f>
        <v>#NAME?</v>
      </c>
    </row>
    <row r="58" spans="1:8" x14ac:dyDescent="0.35">
      <c r="A58" s="71" t="s">
        <v>85</v>
      </c>
      <c r="B58" s="102" t="str">
        <f>VLOOKUP(A58, 'OES Lookups'!$B$2:$C$19, 2, FALSE)</f>
        <v>Industrial and commercial non-aerosol cleaning/degreasing</v>
      </c>
      <c r="C58" s="100" t="s">
        <v>40</v>
      </c>
      <c r="D58" s="101" t="e" cm="1">
        <f t="array" aca="1" ref="D58" ca="1">_xll.RiskMax(PDR_8)</f>
        <v>#NAME?</v>
      </c>
      <c r="E58" s="101" t="e" cm="1">
        <f t="array" aca="1" ref="E58" ca="1">_xll.RiskMax(ARD_8)</f>
        <v>#NAME?</v>
      </c>
      <c r="F58" s="101" t="e" cm="1">
        <f t="array" aca="1" ref="F58" ca="1">_xll.RiskMax(IRD_8)</f>
        <v>#NAME?</v>
      </c>
      <c r="G58" s="101" t="e" cm="1">
        <f t="array" aca="1" ref="G58" ca="1">_xll.RiskMax(CRD_8)</f>
        <v>#NAME?</v>
      </c>
      <c r="H58" s="101" t="e" cm="1">
        <f t="array" aca="1" ref="H58" ca="1">_xll.RiskMax(LCRD_8)</f>
        <v>#NAME?</v>
      </c>
    </row>
    <row r="59" spans="1:8" x14ac:dyDescent="0.35">
      <c r="A59" s="71"/>
      <c r="B59" s="102"/>
      <c r="C59" s="100" t="s">
        <v>202</v>
      </c>
      <c r="D59" s="101" t="e" cm="1">
        <f t="array" aca="1" ref="D59" ca="1">_xll.RiskPercentile(PDR_8, 0.99)</f>
        <v>#NAME?</v>
      </c>
      <c r="E59" s="101" t="e" cm="1">
        <f t="array" aca="1" ref="E59" ca="1">_xll.RiskPercentile(ARD_8, 0.99)</f>
        <v>#NAME?</v>
      </c>
      <c r="F59" s="101" t="e" cm="1">
        <f t="array" aca="1" ref="F59" ca="1">_xll.RiskPercentile(IRD_8, 0.99)</f>
        <v>#NAME?</v>
      </c>
      <c r="G59" s="101" t="e" cm="1">
        <f t="array" aca="1" ref="G59" ca="1">_xll.RiskPercentile(CRD_8, 0.99)</f>
        <v>#NAME?</v>
      </c>
      <c r="H59" s="101" t="e" cm="1">
        <f t="array" aca="1" ref="H59" ca="1">_xll.RiskPercentile(LCRD_8, 0.99)</f>
        <v>#NAME?</v>
      </c>
    </row>
    <row r="60" spans="1:8" x14ac:dyDescent="0.35">
      <c r="A60" s="71"/>
      <c r="B60" s="102"/>
      <c r="C60" s="100" t="s">
        <v>203</v>
      </c>
      <c r="D60" s="101" t="e" cm="1">
        <f t="array" aca="1" ref="D60" ca="1">_xll.RiskPercentile(PDR_8, 0.95)</f>
        <v>#NAME?</v>
      </c>
      <c r="E60" s="101" t="e" cm="1">
        <f t="array" aca="1" ref="E60" ca="1">_xll.RiskPercentile(ARD_8, 0.95)</f>
        <v>#NAME?</v>
      </c>
      <c r="F60" s="101" t="e" cm="1">
        <f t="array" aca="1" ref="F60" ca="1">_xll.RiskPercentile(IRD_8, 0.95)</f>
        <v>#NAME?</v>
      </c>
      <c r="G60" s="101" t="e" cm="1">
        <f t="array" aca="1" ref="G60" ca="1">_xll.RiskPercentile(CRD_8, 0.95)</f>
        <v>#NAME?</v>
      </c>
      <c r="H60" s="101" t="e" cm="1">
        <f t="array" aca="1" ref="H60" ca="1">_xll.RiskPercentile(LCRD_8, 0.95)</f>
        <v>#NAME?</v>
      </c>
    </row>
    <row r="61" spans="1:8" x14ac:dyDescent="0.35">
      <c r="A61" s="71"/>
      <c r="B61" s="102"/>
      <c r="C61" s="100" t="s">
        <v>204</v>
      </c>
      <c r="D61" s="101" t="e" cm="1">
        <f t="array" aca="1" ref="D61" ca="1">_xll.RiskPercentile(PDR_8, 0.5)</f>
        <v>#NAME?</v>
      </c>
      <c r="E61" s="101" t="e" cm="1">
        <f t="array" aca="1" ref="E61" ca="1">_xll.RiskPercentile(ARD_8, 0.5)</f>
        <v>#NAME?</v>
      </c>
      <c r="F61" s="101" t="e" cm="1">
        <f t="array" aca="1" ref="F61" ca="1">_xll.RiskPercentile(IRD_8, 0.5)</f>
        <v>#NAME?</v>
      </c>
      <c r="G61" s="101" t="e" cm="1">
        <f t="array" aca="1" ref="G61" ca="1">_xll.RiskPercentile(CRD_8, 0.5)</f>
        <v>#NAME?</v>
      </c>
      <c r="H61" s="101" t="e" cm="1">
        <f t="array" aca="1" ref="H61" ca="1">_xll.RiskPercentile(LCRD_8, 0.5)</f>
        <v>#NAME?</v>
      </c>
    </row>
    <row r="62" spans="1:8" x14ac:dyDescent="0.35">
      <c r="A62" s="71"/>
      <c r="B62" s="102"/>
      <c r="C62" s="100" t="s">
        <v>205</v>
      </c>
      <c r="D62" s="101" t="e" cm="1">
        <f t="array" aca="1" ref="D62" ca="1">_xll.RiskPercentile(PDR_8, 0.05)</f>
        <v>#NAME?</v>
      </c>
      <c r="E62" s="101" t="e" cm="1">
        <f t="array" aca="1" ref="E62" ca="1">_xll.RiskPercentile(ARD_8, 0.05)</f>
        <v>#NAME?</v>
      </c>
      <c r="F62" s="101" t="e" cm="1">
        <f t="array" aca="1" ref="F62" ca="1">_xll.RiskPercentile(IRD_8, 0.05)</f>
        <v>#NAME?</v>
      </c>
      <c r="G62" s="101" t="e" cm="1">
        <f t="array" aca="1" ref="G62" ca="1">_xll.RiskPercentile(CRD_8, 0.05)</f>
        <v>#NAME?</v>
      </c>
      <c r="H62" s="101" t="e" cm="1">
        <f t="array" aca="1" ref="H62" ca="1">_xll.RiskPercentile(LCRD_8, 0.05)</f>
        <v>#NAME?</v>
      </c>
    </row>
    <row r="63" spans="1:8" x14ac:dyDescent="0.35">
      <c r="A63" s="71"/>
      <c r="B63" s="102"/>
      <c r="C63" s="100" t="s">
        <v>206</v>
      </c>
      <c r="D63" s="101" t="e" cm="1">
        <f t="array" aca="1" ref="D63" ca="1">_xll.RiskMin(PDR_8)</f>
        <v>#NAME?</v>
      </c>
      <c r="E63" s="101" t="e" cm="1">
        <f t="array" aca="1" ref="E63" ca="1">_xll.RiskMin(ARD_8)</f>
        <v>#NAME?</v>
      </c>
      <c r="F63" s="101" t="e" cm="1">
        <f t="array" aca="1" ref="F63" ca="1">_xll.RiskMin(IRD_8)</f>
        <v>#NAME?</v>
      </c>
      <c r="G63" s="101" t="e" cm="1">
        <f t="array" aca="1" ref="G63" ca="1">_xll.RiskMin(CRD_8)</f>
        <v>#NAME?</v>
      </c>
      <c r="H63" s="101" t="e" cm="1">
        <f t="array" aca="1" ref="H63" ca="1">_xll.RiskMin(LCRD_8)</f>
        <v>#NAME?</v>
      </c>
    </row>
    <row r="64" spans="1:8" x14ac:dyDescent="0.35">
      <c r="A64" s="71"/>
      <c r="B64" s="102"/>
      <c r="C64" s="100" t="s">
        <v>207</v>
      </c>
      <c r="D64" s="101" t="e" cm="1">
        <f t="array" aca="1" ref="D64" ca="1">_xll.RiskMean(PDR_8)</f>
        <v>#NAME?</v>
      </c>
      <c r="E64" s="101" t="e" cm="1">
        <f t="array" aca="1" ref="E64" ca="1">_xll.RiskMean(ARD_8)</f>
        <v>#NAME?</v>
      </c>
      <c r="F64" s="101" t="e" cm="1">
        <f t="array" aca="1" ref="F64" ca="1">_xll.RiskMean(IRD_8)</f>
        <v>#NAME?</v>
      </c>
      <c r="G64" s="101" t="e" cm="1">
        <f t="array" aca="1" ref="G64" ca="1">_xll.RiskMean(CRD_8)</f>
        <v>#NAME?</v>
      </c>
      <c r="H64" s="101" t="e" cm="1">
        <f t="array" aca="1" ref="H64" ca="1">_xll.RiskMean(LCRD_8)</f>
        <v>#NAME?</v>
      </c>
    </row>
    <row r="65" spans="1:8" x14ac:dyDescent="0.35">
      <c r="A65" s="71" t="s">
        <v>87</v>
      </c>
      <c r="B65" s="102" t="str">
        <f>VLOOKUP(A65, 'OES Lookups'!$B$2:$C$19, 2, FALSE)</f>
        <v>Miscellaneous non-aerosol industrial and commercial uses</v>
      </c>
      <c r="C65" s="100" t="s">
        <v>40</v>
      </c>
      <c r="D65" s="101" t="e" cm="1">
        <f t="array" aca="1" ref="D65" ca="1">_xll.RiskMax(PDR_9)</f>
        <v>#NAME?</v>
      </c>
      <c r="E65" s="101" t="e" cm="1">
        <f t="array" aca="1" ref="E65" ca="1">_xll.RiskMax(ARD_9)</f>
        <v>#NAME?</v>
      </c>
      <c r="F65" s="101" t="e" cm="1">
        <f t="array" aca="1" ref="F65" ca="1">_xll.RiskMax(IRD_9)</f>
        <v>#NAME?</v>
      </c>
      <c r="G65" s="101" t="e" cm="1">
        <f t="array" aca="1" ref="G65" ca="1">_xll.RiskMax(CRD_9)</f>
        <v>#NAME?</v>
      </c>
      <c r="H65" s="101" t="e" cm="1">
        <f t="array" aca="1" ref="H65" ca="1">_xll.RiskMax(LCRD_9)</f>
        <v>#NAME?</v>
      </c>
    </row>
    <row r="66" spans="1:8" x14ac:dyDescent="0.35">
      <c r="A66" s="71"/>
      <c r="B66" s="102"/>
      <c r="C66" s="100" t="s">
        <v>202</v>
      </c>
      <c r="D66" s="101" t="e" cm="1">
        <f t="array" aca="1" ref="D66" ca="1">_xll.RiskPercentile(PDR_9, 0.99)</f>
        <v>#NAME?</v>
      </c>
      <c r="E66" s="101" t="e" cm="1">
        <f t="array" aca="1" ref="E66" ca="1">_xll.RiskPercentile(ARD_9, 0.99)</f>
        <v>#NAME?</v>
      </c>
      <c r="F66" s="101" t="e" cm="1">
        <f t="array" aca="1" ref="F66" ca="1">_xll.RiskPercentile(IRD_9, 0.99)</f>
        <v>#NAME?</v>
      </c>
      <c r="G66" s="101" t="e" cm="1">
        <f t="array" aca="1" ref="G66" ca="1">_xll.RiskPercentile(CRD_9, 0.99)</f>
        <v>#NAME?</v>
      </c>
      <c r="H66" s="101" t="e" cm="1">
        <f t="array" aca="1" ref="H66" ca="1">_xll.RiskPercentile(LCRD_9, 0.99)</f>
        <v>#NAME?</v>
      </c>
    </row>
    <row r="67" spans="1:8" x14ac:dyDescent="0.35">
      <c r="A67" s="71"/>
      <c r="B67" s="102"/>
      <c r="C67" s="100" t="s">
        <v>203</v>
      </c>
      <c r="D67" s="101" t="e" cm="1">
        <f t="array" aca="1" ref="D67" ca="1">_xll.RiskPercentile(PDR_9, 0.95)</f>
        <v>#NAME?</v>
      </c>
      <c r="E67" s="101" t="e" cm="1">
        <f t="array" aca="1" ref="E67" ca="1">_xll.RiskPercentile(ARD_9, 0.95)</f>
        <v>#NAME?</v>
      </c>
      <c r="F67" s="101" t="e" cm="1">
        <f t="array" aca="1" ref="F67" ca="1">_xll.RiskPercentile(IRD_9, 0.95)</f>
        <v>#NAME?</v>
      </c>
      <c r="G67" s="101" t="e" cm="1">
        <f t="array" aca="1" ref="G67" ca="1">_xll.RiskPercentile(CRD_9, 0.95)</f>
        <v>#NAME?</v>
      </c>
      <c r="H67" s="101" t="e" cm="1">
        <f t="array" aca="1" ref="H67" ca="1">_xll.RiskPercentile(LCRD_9, 0.95)</f>
        <v>#NAME?</v>
      </c>
    </row>
    <row r="68" spans="1:8" x14ac:dyDescent="0.35">
      <c r="A68" s="71"/>
      <c r="B68" s="102"/>
      <c r="C68" s="100" t="s">
        <v>204</v>
      </c>
      <c r="D68" s="101" t="e" cm="1">
        <f t="array" aca="1" ref="D68" ca="1">_xll.RiskPercentile(PDR_9, 0.5)</f>
        <v>#NAME?</v>
      </c>
      <c r="E68" s="101" t="e" cm="1">
        <f t="array" aca="1" ref="E68" ca="1">_xll.RiskPercentile(ARD_9, 0.5)</f>
        <v>#NAME?</v>
      </c>
      <c r="F68" s="101" t="e" cm="1">
        <f t="array" aca="1" ref="F68" ca="1">_xll.RiskPercentile(IRD_9, 0.5)</f>
        <v>#NAME?</v>
      </c>
      <c r="G68" s="101" t="e" cm="1">
        <f t="array" aca="1" ref="G68" ca="1">_xll.RiskPercentile(CRD_9, 0.5)</f>
        <v>#NAME?</v>
      </c>
      <c r="H68" s="101" t="e" cm="1">
        <f t="array" aca="1" ref="H68" ca="1">_xll.RiskPercentile(LCRD_9, 0.5)</f>
        <v>#NAME?</v>
      </c>
    </row>
    <row r="69" spans="1:8" x14ac:dyDescent="0.35">
      <c r="A69" s="71"/>
      <c r="B69" s="102"/>
      <c r="C69" s="100" t="s">
        <v>205</v>
      </c>
      <c r="D69" s="101" t="e" cm="1">
        <f t="array" aca="1" ref="D69" ca="1">_xll.RiskPercentile(PDR_9, 0.05)</f>
        <v>#NAME?</v>
      </c>
      <c r="E69" s="101" t="e" cm="1">
        <f t="array" aca="1" ref="E69" ca="1">_xll.RiskPercentile(ARD_9, 0.05)</f>
        <v>#NAME?</v>
      </c>
      <c r="F69" s="101" t="e" cm="1">
        <f t="array" aca="1" ref="F69" ca="1">_xll.RiskPercentile(IRD_9, 0.05)</f>
        <v>#NAME?</v>
      </c>
      <c r="G69" s="101" t="e" cm="1">
        <f t="array" aca="1" ref="G69" ca="1">_xll.RiskPercentile(CRD_9, 0.05)</f>
        <v>#NAME?</v>
      </c>
      <c r="H69" s="101" t="e" cm="1">
        <f t="array" aca="1" ref="H69" ca="1">_xll.RiskPercentile(LCRD_9, 0.05)</f>
        <v>#NAME?</v>
      </c>
    </row>
    <row r="70" spans="1:8" x14ac:dyDescent="0.35">
      <c r="A70" s="71"/>
      <c r="B70" s="102"/>
      <c r="C70" s="100" t="s">
        <v>206</v>
      </c>
      <c r="D70" s="101" t="e" cm="1">
        <f t="array" aca="1" ref="D70" ca="1">_xll.RiskMin(PDR_9)</f>
        <v>#NAME?</v>
      </c>
      <c r="E70" s="101" t="e" cm="1">
        <f t="array" aca="1" ref="E70" ca="1">_xll.RiskMin(ARD_9)</f>
        <v>#NAME?</v>
      </c>
      <c r="F70" s="101" t="e" cm="1">
        <f t="array" aca="1" ref="F70" ca="1">_xll.RiskMin(IRD_9)</f>
        <v>#NAME?</v>
      </c>
      <c r="G70" s="101" t="e" cm="1">
        <f t="array" aca="1" ref="G70" ca="1">_xll.RiskMin(CRD_9)</f>
        <v>#NAME?</v>
      </c>
      <c r="H70" s="101" t="e" cm="1">
        <f t="array" aca="1" ref="H70" ca="1">_xll.RiskMin(LCRD_9)</f>
        <v>#NAME?</v>
      </c>
    </row>
    <row r="71" spans="1:8" x14ac:dyDescent="0.35">
      <c r="A71" s="71"/>
      <c r="B71" s="102"/>
      <c r="C71" s="100" t="s">
        <v>207</v>
      </c>
      <c r="D71" s="101" t="e" cm="1">
        <f t="array" aca="1" ref="D71" ca="1">_xll.RiskMean(PDR_9)</f>
        <v>#NAME?</v>
      </c>
      <c r="E71" s="101" t="e" cm="1">
        <f t="array" aca="1" ref="E71" ca="1">_xll.RiskMean(ARD_9)</f>
        <v>#NAME?</v>
      </c>
      <c r="F71" s="101" t="e" cm="1">
        <f t="array" aca="1" ref="F71" ca="1">_xll.RiskMean(IRD_9)</f>
        <v>#NAME?</v>
      </c>
      <c r="G71" s="101" t="e" cm="1">
        <f t="array" aca="1" ref="G71" ca="1">_xll.RiskMean(CRD_9)</f>
        <v>#NAME?</v>
      </c>
      <c r="H71" s="101" t="e" cm="1">
        <f t="array" aca="1" ref="H71" ca="1">_xll.RiskMean(LCRD_9)</f>
        <v>#NAME?</v>
      </c>
    </row>
    <row r="72" spans="1:8" x14ac:dyDescent="0.35">
      <c r="A72" s="71" t="s">
        <v>89</v>
      </c>
      <c r="B72" s="102" t="str">
        <f>VLOOKUP(A72, 'OES Lookups'!$B$2:$C$19, 2, FALSE)</f>
        <v>Application of paints and coatings</v>
      </c>
      <c r="C72" s="100" t="s">
        <v>40</v>
      </c>
      <c r="D72" s="101" t="e" cm="1">
        <f t="array" aca="1" ref="D72" ca="1">_xll.RiskMax(PDR_10)</f>
        <v>#NAME?</v>
      </c>
      <c r="E72" s="101" t="e" cm="1">
        <f t="array" aca="1" ref="E72" ca="1">_xll.RiskMax(ARD_10)</f>
        <v>#NAME?</v>
      </c>
      <c r="F72" s="101" t="e" cm="1">
        <f t="array" aca="1" ref="F72" ca="1">_xll.RiskMax(IRD_10)</f>
        <v>#NAME?</v>
      </c>
      <c r="G72" s="101" t="e" cm="1">
        <f t="array" aca="1" ref="G72" ca="1">_xll.RiskMax(CRD_10)</f>
        <v>#NAME?</v>
      </c>
      <c r="H72" s="101" t="e" cm="1">
        <f t="array" aca="1" ref="H72" ca="1">_xll.RiskMax(LCRD_10)</f>
        <v>#NAME?</v>
      </c>
    </row>
    <row r="73" spans="1:8" x14ac:dyDescent="0.35">
      <c r="A73" s="71"/>
      <c r="B73" s="102"/>
      <c r="C73" s="100" t="s">
        <v>202</v>
      </c>
      <c r="D73" s="101" t="e" cm="1">
        <f t="array" aca="1" ref="D73" ca="1">_xll.RiskPercentile(PDR_10, 0.99)</f>
        <v>#NAME?</v>
      </c>
      <c r="E73" s="101" t="e" cm="1">
        <f t="array" aca="1" ref="E73" ca="1">_xll.RiskPercentile(ARD_10, 0.99)</f>
        <v>#NAME?</v>
      </c>
      <c r="F73" s="101" t="e" cm="1">
        <f t="array" aca="1" ref="F73" ca="1">_xll.RiskPercentile(IRD_10, 0.99)</f>
        <v>#NAME?</v>
      </c>
      <c r="G73" s="101" t="e" cm="1">
        <f t="array" aca="1" ref="G73" ca="1">_xll.RiskPercentile(CRD_10, 0.99)</f>
        <v>#NAME?</v>
      </c>
      <c r="H73" s="101" t="e" cm="1">
        <f t="array" aca="1" ref="H73" ca="1">_xll.RiskPercentile(LCRD_10, 0.99)</f>
        <v>#NAME?</v>
      </c>
    </row>
    <row r="74" spans="1:8" x14ac:dyDescent="0.35">
      <c r="A74" s="71"/>
      <c r="B74" s="102"/>
      <c r="C74" s="100" t="s">
        <v>203</v>
      </c>
      <c r="D74" s="101" t="e" cm="1">
        <f t="array" aca="1" ref="D74" ca="1">_xll.RiskPercentile(PDR_10, 0.95)</f>
        <v>#NAME?</v>
      </c>
      <c r="E74" s="101" t="e" cm="1">
        <f t="array" aca="1" ref="E74" ca="1">_xll.RiskPercentile(ARD_10, 0.95)</f>
        <v>#NAME?</v>
      </c>
      <c r="F74" s="101" t="e" cm="1">
        <f t="array" aca="1" ref="F74" ca="1">_xll.RiskPercentile(IRD_10, 0.95)</f>
        <v>#NAME?</v>
      </c>
      <c r="G74" s="101" t="e" cm="1">
        <f t="array" aca="1" ref="G74" ca="1">_xll.RiskPercentile(CRD_10, 0.95)</f>
        <v>#NAME?</v>
      </c>
      <c r="H74" s="101" t="e" cm="1">
        <f t="array" aca="1" ref="H74" ca="1">_xll.RiskPercentile(LCRD_10, 0.95)</f>
        <v>#NAME?</v>
      </c>
    </row>
    <row r="75" spans="1:8" x14ac:dyDescent="0.35">
      <c r="A75" s="71"/>
      <c r="B75" s="102"/>
      <c r="C75" s="100" t="s">
        <v>204</v>
      </c>
      <c r="D75" s="101" t="e" cm="1">
        <f t="array" aca="1" ref="D75" ca="1">_xll.RiskPercentile(PDR_10, 0.5)</f>
        <v>#NAME?</v>
      </c>
      <c r="E75" s="101" t="e" cm="1">
        <f t="array" aca="1" ref="E75" ca="1">_xll.RiskPercentile(ARD_10, 0.5)</f>
        <v>#NAME?</v>
      </c>
      <c r="F75" s="101" t="e" cm="1">
        <f t="array" aca="1" ref="F75" ca="1">_xll.RiskPercentile(IRD_10, 0.5)</f>
        <v>#NAME?</v>
      </c>
      <c r="G75" s="101" t="e" cm="1">
        <f t="array" aca="1" ref="G75" ca="1">_xll.RiskPercentile(CRD_10, 0.5)</f>
        <v>#NAME?</v>
      </c>
      <c r="H75" s="101" t="e" cm="1">
        <f t="array" aca="1" ref="H75" ca="1">_xll.RiskPercentile(LCRD_10, 0.5)</f>
        <v>#NAME?</v>
      </c>
    </row>
    <row r="76" spans="1:8" x14ac:dyDescent="0.35">
      <c r="A76" s="71"/>
      <c r="B76" s="102"/>
      <c r="C76" s="100" t="s">
        <v>205</v>
      </c>
      <c r="D76" s="101" t="e" cm="1">
        <f t="array" aca="1" ref="D76" ca="1">_xll.RiskPercentile(PDR_10, 0.05)</f>
        <v>#NAME?</v>
      </c>
      <c r="E76" s="101" t="e" cm="1">
        <f t="array" aca="1" ref="E76" ca="1">_xll.RiskPercentile(ARD_10, 0.05)</f>
        <v>#NAME?</v>
      </c>
      <c r="F76" s="101" t="e" cm="1">
        <f t="array" aca="1" ref="F76" ca="1">_xll.RiskPercentile(IRD_10, 0.05)</f>
        <v>#NAME?</v>
      </c>
      <c r="G76" s="101" t="e" cm="1">
        <f t="array" aca="1" ref="G76" ca="1">_xll.RiskPercentile(CRD_10, 0.05)</f>
        <v>#NAME?</v>
      </c>
      <c r="H76" s="101" t="e" cm="1">
        <f t="array" aca="1" ref="H76" ca="1">_xll.RiskPercentile(LCRD_10, 0.05)</f>
        <v>#NAME?</v>
      </c>
    </row>
    <row r="77" spans="1:8" x14ac:dyDescent="0.35">
      <c r="A77" s="71"/>
      <c r="B77" s="102"/>
      <c r="C77" s="100" t="s">
        <v>206</v>
      </c>
      <c r="D77" s="101" t="e" cm="1">
        <f t="array" aca="1" ref="D77" ca="1">_xll.RiskMin(PDR_10)</f>
        <v>#NAME?</v>
      </c>
      <c r="E77" s="101" t="e" cm="1">
        <f t="array" aca="1" ref="E77" ca="1">_xll.RiskMin(ARD_10)</f>
        <v>#NAME?</v>
      </c>
      <c r="F77" s="101" t="e" cm="1">
        <f t="array" aca="1" ref="F77" ca="1">_xll.RiskMin(IRD_10)</f>
        <v>#NAME?</v>
      </c>
      <c r="G77" s="101" t="e" cm="1">
        <f t="array" aca="1" ref="G77" ca="1">_xll.RiskMin(CRD_10)</f>
        <v>#NAME?</v>
      </c>
      <c r="H77" s="101" t="e" cm="1">
        <f t="array" aca="1" ref="H77" ca="1">_xll.RiskMin(LCRD_10)</f>
        <v>#NAME?</v>
      </c>
    </row>
    <row r="78" spans="1:8" x14ac:dyDescent="0.35">
      <c r="A78" s="71"/>
      <c r="B78" s="102"/>
      <c r="C78" s="100" t="s">
        <v>207</v>
      </c>
      <c r="D78" s="101" t="e" cm="1">
        <f t="array" aca="1" ref="D78" ca="1">_xll.RiskMean(PDR_10)</f>
        <v>#NAME?</v>
      </c>
      <c r="E78" s="101" t="e" cm="1">
        <f t="array" aca="1" ref="E78" ca="1">_xll.RiskMean(ARD_10)</f>
        <v>#NAME?</v>
      </c>
      <c r="F78" s="101" t="e" cm="1">
        <f t="array" aca="1" ref="F78" ca="1">_xll.RiskMean(IRD_10)</f>
        <v>#NAME?</v>
      </c>
      <c r="G78" s="101" t="e" cm="1">
        <f t="array" aca="1" ref="G78" ca="1">_xll.RiskMean(CRD_10)</f>
        <v>#NAME?</v>
      </c>
      <c r="H78" s="101" t="e" cm="1">
        <f t="array" aca="1" ref="H78" ca="1">_xll.RiskMean(LCRD_10)</f>
        <v>#NAME?</v>
      </c>
    </row>
    <row r="79" spans="1:8" x14ac:dyDescent="0.35">
      <c r="A79" s="71" t="s">
        <v>91</v>
      </c>
      <c r="B79" s="102" t="str">
        <f>VLOOKUP(A79, 'OES Lookups'!$B$2:$C$19, 2, FALSE)</f>
        <v>Application of adhesives and sealants</v>
      </c>
      <c r="C79" s="100" t="s">
        <v>40</v>
      </c>
      <c r="D79" s="101" t="e" cm="1">
        <f t="array" aca="1" ref="D79" ca="1">_xll.RiskMax(PDR_11)</f>
        <v>#NAME?</v>
      </c>
      <c r="E79" s="101" t="e" cm="1">
        <f t="array" aca="1" ref="E79" ca="1">_xll.RiskMax(ARD_11)</f>
        <v>#NAME?</v>
      </c>
      <c r="F79" s="101" t="e" cm="1">
        <f t="array" aca="1" ref="F79" ca="1">_xll.RiskMax(IRD_11)</f>
        <v>#NAME?</v>
      </c>
      <c r="G79" s="101" t="e" cm="1">
        <f t="array" aca="1" ref="G79" ca="1">_xll.RiskMax(CRD_11)</f>
        <v>#NAME?</v>
      </c>
      <c r="H79" s="101" t="e" cm="1">
        <f t="array" aca="1" ref="H79" ca="1">_xll.RiskMax(LCRD_11)</f>
        <v>#NAME?</v>
      </c>
    </row>
    <row r="80" spans="1:8" x14ac:dyDescent="0.35">
      <c r="A80" s="71"/>
      <c r="B80" s="102"/>
      <c r="C80" s="100" t="s">
        <v>202</v>
      </c>
      <c r="D80" s="101" t="e" cm="1">
        <f t="array" aca="1" ref="D80" ca="1">_xll.RiskPercentile(PDR_11, 0.99)</f>
        <v>#NAME?</v>
      </c>
      <c r="E80" s="101" t="e" cm="1">
        <f t="array" aca="1" ref="E80" ca="1">_xll.RiskPercentile(ARD_11, 0.99)</f>
        <v>#NAME?</v>
      </c>
      <c r="F80" s="101" t="e" cm="1">
        <f t="array" aca="1" ref="F80" ca="1">_xll.RiskPercentile(IRD_11, 0.99)</f>
        <v>#NAME?</v>
      </c>
      <c r="G80" s="101" t="e" cm="1">
        <f t="array" aca="1" ref="G80" ca="1">_xll.RiskPercentile(CRD_11, 0.99)</f>
        <v>#NAME?</v>
      </c>
      <c r="H80" s="101" t="e" cm="1">
        <f t="array" aca="1" ref="H80" ca="1">_xll.RiskPercentile(LCRD_11, 0.99)</f>
        <v>#NAME?</v>
      </c>
    </row>
    <row r="81" spans="1:8" x14ac:dyDescent="0.35">
      <c r="A81" s="71"/>
      <c r="B81" s="102"/>
      <c r="C81" s="100" t="s">
        <v>203</v>
      </c>
      <c r="D81" s="101" t="e" cm="1">
        <f t="array" aca="1" ref="D81" ca="1">_xll.RiskPercentile(PDR_11, 0.95)</f>
        <v>#NAME?</v>
      </c>
      <c r="E81" s="101" t="e" cm="1">
        <f t="array" aca="1" ref="E81" ca="1">_xll.RiskPercentile(ARD_11, 0.95)</f>
        <v>#NAME?</v>
      </c>
      <c r="F81" s="101" t="e" cm="1">
        <f t="array" aca="1" ref="F81" ca="1">_xll.RiskPercentile(IRD_11, 0.95)</f>
        <v>#NAME?</v>
      </c>
      <c r="G81" s="101" t="e" cm="1">
        <f t="array" aca="1" ref="G81" ca="1">_xll.RiskPercentile(CRD_11, 0.95)</f>
        <v>#NAME?</v>
      </c>
      <c r="H81" s="101" t="e" cm="1">
        <f t="array" aca="1" ref="H81" ca="1">_xll.RiskPercentile(LCRD_11, 0.95)</f>
        <v>#NAME?</v>
      </c>
    </row>
    <row r="82" spans="1:8" x14ac:dyDescent="0.35">
      <c r="A82" s="71"/>
      <c r="B82" s="102"/>
      <c r="C82" s="100" t="s">
        <v>204</v>
      </c>
      <c r="D82" s="101" t="e" cm="1">
        <f t="array" aca="1" ref="D82" ca="1">_xll.RiskPercentile(PDR_11, 0.5)</f>
        <v>#NAME?</v>
      </c>
      <c r="E82" s="101" t="e" cm="1">
        <f t="array" aca="1" ref="E82" ca="1">_xll.RiskPercentile(ARD_11, 0.5)</f>
        <v>#NAME?</v>
      </c>
      <c r="F82" s="101" t="e" cm="1">
        <f t="array" aca="1" ref="F82" ca="1">_xll.RiskPercentile(IRD_11, 0.5)</f>
        <v>#NAME?</v>
      </c>
      <c r="G82" s="101" t="e" cm="1">
        <f t="array" aca="1" ref="G82" ca="1">_xll.RiskPercentile(CRD_11, 0.5)</f>
        <v>#NAME?</v>
      </c>
      <c r="H82" s="101" t="e" cm="1">
        <f t="array" aca="1" ref="H82" ca="1">_xll.RiskPercentile(LCRD_11, 0.5)</f>
        <v>#NAME?</v>
      </c>
    </row>
    <row r="83" spans="1:8" x14ac:dyDescent="0.35">
      <c r="A83" s="71"/>
      <c r="B83" s="102"/>
      <c r="C83" s="100" t="s">
        <v>205</v>
      </c>
      <c r="D83" s="101" t="e" cm="1">
        <f t="array" aca="1" ref="D83" ca="1">_xll.RiskPercentile(PDR_11, 0.05)</f>
        <v>#NAME?</v>
      </c>
      <c r="E83" s="101" t="e" cm="1">
        <f t="array" aca="1" ref="E83" ca="1">_xll.RiskPercentile(ARD_11, 0.05)</f>
        <v>#NAME?</v>
      </c>
      <c r="F83" s="101" t="e" cm="1">
        <f t="array" aca="1" ref="F83" ca="1">_xll.RiskPercentile(IRD_11, 0.05)</f>
        <v>#NAME?</v>
      </c>
      <c r="G83" s="101" t="e" cm="1">
        <f t="array" aca="1" ref="G83" ca="1">_xll.RiskPercentile(CRD_11, 0.05)</f>
        <v>#NAME?</v>
      </c>
      <c r="H83" s="101" t="e" cm="1">
        <f t="array" aca="1" ref="H83" ca="1">_xll.RiskPercentile(LCRD_11, 0.05)</f>
        <v>#NAME?</v>
      </c>
    </row>
    <row r="84" spans="1:8" x14ac:dyDescent="0.35">
      <c r="A84" s="71"/>
      <c r="B84" s="102"/>
      <c r="C84" s="100" t="s">
        <v>206</v>
      </c>
      <c r="D84" s="101" t="e" cm="1">
        <f t="array" aca="1" ref="D84" ca="1">_xll.RiskMin(PDR_11)</f>
        <v>#NAME?</v>
      </c>
      <c r="E84" s="101" t="e" cm="1">
        <f t="array" aca="1" ref="E84" ca="1">_xll.RiskMin(ARD_11)</f>
        <v>#NAME?</v>
      </c>
      <c r="F84" s="101" t="e" cm="1">
        <f t="array" aca="1" ref="F84" ca="1">_xll.RiskMin(IRD_11)</f>
        <v>#NAME?</v>
      </c>
      <c r="G84" s="101" t="e" cm="1">
        <f t="array" aca="1" ref="G84" ca="1">_xll.RiskMin(CRD_11)</f>
        <v>#NAME?</v>
      </c>
      <c r="H84" s="101" t="e" cm="1">
        <f t="array" aca="1" ref="H84" ca="1">_xll.RiskMin(LCRD_11)</f>
        <v>#NAME?</v>
      </c>
    </row>
    <row r="85" spans="1:8" x14ac:dyDescent="0.35">
      <c r="A85" s="71"/>
      <c r="B85" s="102"/>
      <c r="C85" s="100" t="s">
        <v>207</v>
      </c>
      <c r="D85" s="101" t="e" cm="1">
        <f t="array" aca="1" ref="D85" ca="1">_xll.RiskMean(PDR_11)</f>
        <v>#NAME?</v>
      </c>
      <c r="E85" s="101" t="e" cm="1">
        <f t="array" aca="1" ref="E85" ca="1">_xll.RiskMean(ARD_11)</f>
        <v>#NAME?</v>
      </c>
      <c r="F85" s="101" t="e" cm="1">
        <f t="array" aca="1" ref="F85" ca="1">_xll.RiskMean(IRD_11)</f>
        <v>#NAME?</v>
      </c>
      <c r="G85" s="101" t="e" cm="1">
        <f t="array" aca="1" ref="G85" ca="1">_xll.RiskMean(CRD_11)</f>
        <v>#NAME?</v>
      </c>
      <c r="H85" s="101" t="e" cm="1">
        <f t="array" aca="1" ref="H85" ca="1">_xll.RiskMean(LCRD_11)</f>
        <v>#NAME?</v>
      </c>
    </row>
    <row r="86" spans="1:8" x14ac:dyDescent="0.35">
      <c r="A86" s="71" t="s">
        <v>93</v>
      </c>
      <c r="B86" s="102" t="str">
        <f>VLOOKUP(A86, 'OES Lookups'!$B$2:$C$19, 2, FALSE)</f>
        <v>Refrigerant and refrigerant flush</v>
      </c>
      <c r="C86" s="100" t="s">
        <v>40</v>
      </c>
      <c r="D86" s="101" t="e" cm="1">
        <f t="array" aca="1" ref="D86" ca="1">_xll.RiskMax(PDR_12)</f>
        <v>#NAME?</v>
      </c>
      <c r="E86" s="101" t="e" cm="1">
        <f t="array" aca="1" ref="E86" ca="1">_xll.RiskMax(ARD_12)</f>
        <v>#NAME?</v>
      </c>
      <c r="F86" s="101" t="e" cm="1">
        <f t="array" aca="1" ref="F86" ca="1">_xll.RiskMax(IRD_12)</f>
        <v>#NAME?</v>
      </c>
      <c r="G86" s="101" t="e" cm="1">
        <f t="array" aca="1" ref="G86" ca="1">_xll.RiskMax(CRD_12)</f>
        <v>#NAME?</v>
      </c>
      <c r="H86" s="101" t="e" cm="1">
        <f t="array" aca="1" ref="H86" ca="1">_xll.RiskMax(LCRD_12)</f>
        <v>#NAME?</v>
      </c>
    </row>
    <row r="87" spans="1:8" x14ac:dyDescent="0.35">
      <c r="A87" s="71"/>
      <c r="B87" s="102"/>
      <c r="C87" s="100" t="s">
        <v>202</v>
      </c>
      <c r="D87" s="101" t="e" cm="1">
        <f t="array" aca="1" ref="D87" ca="1">_xll.RiskPercentile(PDR_12, 0.99)</f>
        <v>#NAME?</v>
      </c>
      <c r="E87" s="101" t="e" cm="1">
        <f t="array" aca="1" ref="E87" ca="1">_xll.RiskPercentile(ARD_12, 0.99)</f>
        <v>#NAME?</v>
      </c>
      <c r="F87" s="101" t="e" cm="1">
        <f t="array" aca="1" ref="F87" ca="1">_xll.RiskPercentile(IRD_12, 0.99)</f>
        <v>#NAME?</v>
      </c>
      <c r="G87" s="101" t="e" cm="1">
        <f t="array" aca="1" ref="G87" ca="1">_xll.RiskPercentile(CRD_12, 0.99)</f>
        <v>#NAME?</v>
      </c>
      <c r="H87" s="101" t="e" cm="1">
        <f t="array" aca="1" ref="H87" ca="1">_xll.RiskPercentile(LCRD_12, 0.99)</f>
        <v>#NAME?</v>
      </c>
    </row>
    <row r="88" spans="1:8" x14ac:dyDescent="0.35">
      <c r="A88" s="71"/>
      <c r="B88" s="102"/>
      <c r="C88" s="100" t="s">
        <v>203</v>
      </c>
      <c r="D88" s="101" t="e" cm="1">
        <f t="array" aca="1" ref="D88" ca="1">_xll.RiskPercentile(PDR_12, 0.95)</f>
        <v>#NAME?</v>
      </c>
      <c r="E88" s="101" t="e" cm="1">
        <f t="array" aca="1" ref="E88" ca="1">_xll.RiskPercentile(ARD_12, 0.95)</f>
        <v>#NAME?</v>
      </c>
      <c r="F88" s="101" t="e" cm="1">
        <f t="array" aca="1" ref="F88" ca="1">_xll.RiskPercentile(IRD_12, 0.95)</f>
        <v>#NAME?</v>
      </c>
      <c r="G88" s="101" t="e" cm="1">
        <f t="array" aca="1" ref="G88" ca="1">_xll.RiskPercentile(CRD_12, 0.95)</f>
        <v>#NAME?</v>
      </c>
      <c r="H88" s="101" t="e" cm="1">
        <f t="array" aca="1" ref="H88" ca="1">_xll.RiskPercentile(LCRD_12, 0.95)</f>
        <v>#NAME?</v>
      </c>
    </row>
    <row r="89" spans="1:8" x14ac:dyDescent="0.35">
      <c r="A89" s="71"/>
      <c r="B89" s="102"/>
      <c r="C89" s="100" t="s">
        <v>204</v>
      </c>
      <c r="D89" s="101" t="e" cm="1">
        <f t="array" aca="1" ref="D89" ca="1">_xll.RiskPercentile(PDR_12, 0.5)</f>
        <v>#NAME?</v>
      </c>
      <c r="E89" s="101" t="e" cm="1">
        <f t="array" aca="1" ref="E89" ca="1">_xll.RiskPercentile(ARD_12, 0.5)</f>
        <v>#NAME?</v>
      </c>
      <c r="F89" s="101" t="e" cm="1">
        <f t="array" aca="1" ref="F89" ca="1">_xll.RiskPercentile(IRD_12, 0.5)</f>
        <v>#NAME?</v>
      </c>
      <c r="G89" s="101" t="e" cm="1">
        <f t="array" aca="1" ref="G89" ca="1">_xll.RiskPercentile(CRD_12, 0.5)</f>
        <v>#NAME?</v>
      </c>
      <c r="H89" s="101" t="e" cm="1">
        <f t="array" aca="1" ref="H89" ca="1">_xll.RiskPercentile(LCRD_12, 0.5)</f>
        <v>#NAME?</v>
      </c>
    </row>
    <row r="90" spans="1:8" x14ac:dyDescent="0.35">
      <c r="A90" s="71"/>
      <c r="B90" s="102"/>
      <c r="C90" s="100" t="s">
        <v>205</v>
      </c>
      <c r="D90" s="101" t="e" cm="1">
        <f t="array" aca="1" ref="D90" ca="1">_xll.RiskPercentile(PDR_12, 0.05)</f>
        <v>#NAME?</v>
      </c>
      <c r="E90" s="101" t="e" cm="1">
        <f t="array" aca="1" ref="E90" ca="1">_xll.RiskPercentile(ARD_12, 0.05)</f>
        <v>#NAME?</v>
      </c>
      <c r="F90" s="101" t="e" cm="1">
        <f t="array" aca="1" ref="F90" ca="1">_xll.RiskPercentile(IRD_12, 0.05)</f>
        <v>#NAME?</v>
      </c>
      <c r="G90" s="101" t="e" cm="1">
        <f t="array" aca="1" ref="G90" ca="1">_xll.RiskPercentile(CRD_12, 0.05)</f>
        <v>#NAME?</v>
      </c>
      <c r="H90" s="101" t="e" cm="1">
        <f t="array" aca="1" ref="H90" ca="1">_xll.RiskPercentile(LCRD_12, 0.05)</f>
        <v>#NAME?</v>
      </c>
    </row>
    <row r="91" spans="1:8" x14ac:dyDescent="0.35">
      <c r="A91" s="71"/>
      <c r="B91" s="102"/>
      <c r="C91" s="100" t="s">
        <v>206</v>
      </c>
      <c r="D91" s="101" t="e" cm="1">
        <f t="array" aca="1" ref="D91" ca="1">_xll.RiskMin(PDR_12)</f>
        <v>#NAME?</v>
      </c>
      <c r="E91" s="101" t="e" cm="1">
        <f t="array" aca="1" ref="E91" ca="1">_xll.RiskMin(ARD_12)</f>
        <v>#NAME?</v>
      </c>
      <c r="F91" s="101" t="e" cm="1">
        <f t="array" aca="1" ref="F91" ca="1">_xll.RiskMin(IRD_12)</f>
        <v>#NAME?</v>
      </c>
      <c r="G91" s="101" t="e" cm="1">
        <f t="array" aca="1" ref="G91" ca="1">_xll.RiskMin(CRD_12)</f>
        <v>#NAME?</v>
      </c>
      <c r="H91" s="101" t="e" cm="1">
        <f t="array" aca="1" ref="H91" ca="1">_xll.RiskMin(LCRD_12)</f>
        <v>#NAME?</v>
      </c>
    </row>
    <row r="92" spans="1:8" x14ac:dyDescent="0.35">
      <c r="A92" s="71"/>
      <c r="B92" s="102"/>
      <c r="C92" s="100" t="s">
        <v>207</v>
      </c>
      <c r="D92" s="101" t="e" cm="1">
        <f t="array" aca="1" ref="D92" ca="1">_xll.RiskMean(PDR_12)</f>
        <v>#NAME?</v>
      </c>
      <c r="E92" s="101" t="e" cm="1">
        <f t="array" aca="1" ref="E92" ca="1">_xll.RiskMean(ARD_12)</f>
        <v>#NAME?</v>
      </c>
      <c r="F92" s="101" t="e" cm="1">
        <f t="array" aca="1" ref="F92" ca="1">_xll.RiskMean(IRD_12)</f>
        <v>#NAME?</v>
      </c>
      <c r="G92" s="101" t="e" cm="1">
        <f t="array" aca="1" ref="G92" ca="1">_xll.RiskMean(CRD_12)</f>
        <v>#NAME?</v>
      </c>
      <c r="H92" s="101" t="e" cm="1">
        <f t="array" aca="1" ref="H92" ca="1">_xll.RiskMean(LCRD_12)</f>
        <v>#NAME?</v>
      </c>
    </row>
    <row r="93" spans="1:8" x14ac:dyDescent="0.35">
      <c r="A93" s="71" t="s">
        <v>95</v>
      </c>
      <c r="B93" s="102" t="str">
        <f>VLOOKUP(A93, 'OES Lookups'!$B$2:$C$19, 2, FALSE)</f>
        <v>Semiconductor manufacturing</v>
      </c>
      <c r="C93" s="100" t="s">
        <v>40</v>
      </c>
      <c r="D93" s="101" t="e" cm="1">
        <f t="array" aca="1" ref="D93" ca="1">_xll.RiskMax(PDR_13)</f>
        <v>#NAME?</v>
      </c>
      <c r="E93" s="101" t="e" cm="1">
        <f t="array" aca="1" ref="E93" ca="1">_xll.RiskMax(ARD_13)</f>
        <v>#NAME?</v>
      </c>
      <c r="F93" s="101" t="e" cm="1">
        <f t="array" aca="1" ref="F93" ca="1">_xll.RiskMax(IRD_13)</f>
        <v>#NAME?</v>
      </c>
      <c r="G93" s="101" t="e" cm="1">
        <f t="array" aca="1" ref="G93" ca="1">_xll.RiskMax(CRD_13)</f>
        <v>#NAME?</v>
      </c>
      <c r="H93" s="101" t="e" cm="1">
        <f t="array" aca="1" ref="H93" ca="1">_xll.RiskMax(LCRD_13)</f>
        <v>#NAME?</v>
      </c>
    </row>
    <row r="94" spans="1:8" x14ac:dyDescent="0.35">
      <c r="A94" s="71"/>
      <c r="B94" s="102"/>
      <c r="C94" s="100" t="s">
        <v>202</v>
      </c>
      <c r="D94" s="101" t="e" cm="1">
        <f t="array" aca="1" ref="D94" ca="1">_xll.RiskPercentile(PDR_13, 0.99)</f>
        <v>#NAME?</v>
      </c>
      <c r="E94" s="101" t="e" cm="1">
        <f t="array" aca="1" ref="E94" ca="1">_xll.RiskPercentile(ARD_13, 0.99)</f>
        <v>#NAME?</v>
      </c>
      <c r="F94" s="101" t="e" cm="1">
        <f t="array" aca="1" ref="F94" ca="1">_xll.RiskPercentile(IRD_13, 0.99)</f>
        <v>#NAME?</v>
      </c>
      <c r="G94" s="101" t="e" cm="1">
        <f t="array" aca="1" ref="G94" ca="1">_xll.RiskPercentile(CRD_13, 0.99)</f>
        <v>#NAME?</v>
      </c>
      <c r="H94" s="101" t="e" cm="1">
        <f t="array" aca="1" ref="H94" ca="1">_xll.RiskPercentile(LCRD_13, 0.99)</f>
        <v>#NAME?</v>
      </c>
    </row>
    <row r="95" spans="1:8" x14ac:dyDescent="0.35">
      <c r="A95" s="71"/>
      <c r="B95" s="102"/>
      <c r="C95" s="100" t="s">
        <v>203</v>
      </c>
      <c r="D95" s="101" t="e" cm="1">
        <f t="array" aca="1" ref="D95" ca="1">_xll.RiskPercentile(PDR_13, 0.95)</f>
        <v>#NAME?</v>
      </c>
      <c r="E95" s="101" t="e" cm="1">
        <f t="array" aca="1" ref="E95" ca="1">_xll.RiskPercentile(ARD_13, 0.95)</f>
        <v>#NAME?</v>
      </c>
      <c r="F95" s="101" t="e" cm="1">
        <f t="array" aca="1" ref="F95" ca="1">_xll.RiskPercentile(IRD_13, 0.95)</f>
        <v>#NAME?</v>
      </c>
      <c r="G95" s="101" t="e" cm="1">
        <f t="array" aca="1" ref="G95" ca="1">_xll.RiskPercentile(CRD_13, 0.95)</f>
        <v>#NAME?</v>
      </c>
      <c r="H95" s="101" t="e" cm="1">
        <f t="array" aca="1" ref="H95" ca="1">_xll.RiskPercentile(LCRD_13, 0.95)</f>
        <v>#NAME?</v>
      </c>
    </row>
    <row r="96" spans="1:8" x14ac:dyDescent="0.35">
      <c r="A96" s="71"/>
      <c r="B96" s="102"/>
      <c r="C96" s="100" t="s">
        <v>204</v>
      </c>
      <c r="D96" s="101" t="e" cm="1">
        <f t="array" aca="1" ref="D96" ca="1">_xll.RiskPercentile(PDR_13, 0.5)</f>
        <v>#NAME?</v>
      </c>
      <c r="E96" s="101" t="e" cm="1">
        <f t="array" aca="1" ref="E96" ca="1">_xll.RiskPercentile(ARD_13, 0.5)</f>
        <v>#NAME?</v>
      </c>
      <c r="F96" s="101" t="e" cm="1">
        <f t="array" aca="1" ref="F96" ca="1">_xll.RiskPercentile(IRD_13, 0.5)</f>
        <v>#NAME?</v>
      </c>
      <c r="G96" s="101" t="e" cm="1">
        <f t="array" aca="1" ref="G96" ca="1">_xll.RiskPercentile(CRD_13, 0.5)</f>
        <v>#NAME?</v>
      </c>
      <c r="H96" s="101" t="e" cm="1">
        <f t="array" aca="1" ref="H96" ca="1">_xll.RiskPercentile(LCRD_13, 0.5)</f>
        <v>#NAME?</v>
      </c>
    </row>
    <row r="97" spans="1:8" x14ac:dyDescent="0.35">
      <c r="A97" s="71"/>
      <c r="B97" s="102"/>
      <c r="C97" s="100" t="s">
        <v>205</v>
      </c>
      <c r="D97" s="101" t="e" cm="1">
        <f t="array" aca="1" ref="D97" ca="1">_xll.RiskPercentile(PDR_13, 0.05)</f>
        <v>#NAME?</v>
      </c>
      <c r="E97" s="101" t="e" cm="1">
        <f t="array" aca="1" ref="E97" ca="1">_xll.RiskPercentile(ARD_13, 0.05)</f>
        <v>#NAME?</v>
      </c>
      <c r="F97" s="101" t="e" cm="1">
        <f t="array" aca="1" ref="F97" ca="1">_xll.RiskPercentile(IRD_13, 0.05)</f>
        <v>#NAME?</v>
      </c>
      <c r="G97" s="101" t="e" cm="1">
        <f t="array" aca="1" ref="G97" ca="1">_xll.RiskPercentile(CRD_13, 0.05)</f>
        <v>#NAME?</v>
      </c>
      <c r="H97" s="101" t="e" cm="1">
        <f t="array" aca="1" ref="H97" ca="1">_xll.RiskPercentile(LCRD_13, 0.05)</f>
        <v>#NAME?</v>
      </c>
    </row>
    <row r="98" spans="1:8" x14ac:dyDescent="0.35">
      <c r="A98" s="71"/>
      <c r="B98" s="102"/>
      <c r="C98" s="100" t="s">
        <v>206</v>
      </c>
      <c r="D98" s="101" t="e" cm="1">
        <f t="array" aca="1" ref="D98" ca="1">_xll.RiskMin(PDR_13)</f>
        <v>#NAME?</v>
      </c>
      <c r="E98" s="101" t="e" cm="1">
        <f t="array" aca="1" ref="E98" ca="1">_xll.RiskMin(ARD_13)</f>
        <v>#NAME?</v>
      </c>
      <c r="F98" s="101" t="e" cm="1">
        <f t="array" aca="1" ref="F98" ca="1">_xll.RiskMin(IRD_13)</f>
        <v>#NAME?</v>
      </c>
      <c r="G98" s="101" t="e" cm="1">
        <f t="array" aca="1" ref="G98" ca="1">_xll.RiskMin(CRD_13)</f>
        <v>#NAME?</v>
      </c>
      <c r="H98" s="101" t="e" cm="1">
        <f t="array" aca="1" ref="H98" ca="1">_xll.RiskMin(LCRD_13)</f>
        <v>#NAME?</v>
      </c>
    </row>
    <row r="99" spans="1:8" x14ac:dyDescent="0.35">
      <c r="A99" s="71"/>
      <c r="B99" s="102"/>
      <c r="C99" s="100" t="s">
        <v>207</v>
      </c>
      <c r="D99" s="101" t="e" cm="1">
        <f t="array" aca="1" ref="D99" ca="1">_xll.RiskMean(PDR_13)</f>
        <v>#NAME?</v>
      </c>
      <c r="E99" s="101" t="e" cm="1">
        <f t="array" aca="1" ref="E99" ca="1">_xll.RiskMean(ARD_13)</f>
        <v>#NAME?</v>
      </c>
      <c r="F99" s="101" t="e" cm="1">
        <f t="array" aca="1" ref="F99" ca="1">_xll.RiskMean(IRD_13)</f>
        <v>#NAME?</v>
      </c>
      <c r="G99" s="101" t="e" cm="1">
        <f t="array" aca="1" ref="G99" ca="1">_xll.RiskMean(CRD_13)</f>
        <v>#NAME?</v>
      </c>
      <c r="H99" s="101" t="e" cm="1">
        <f t="array" aca="1" ref="H99" ca="1">_xll.RiskMean(LCRD_13)</f>
        <v>#NAME?</v>
      </c>
    </row>
    <row r="100" spans="1:8" x14ac:dyDescent="0.35">
      <c r="A100" s="71" t="s">
        <v>97</v>
      </c>
      <c r="B100" s="102" t="str">
        <f>VLOOKUP(A100, 'OES Lookups'!$B$2:$C$19, 2, FALSE)</f>
        <v>Commercial laboratory use</v>
      </c>
      <c r="C100" s="100" t="s">
        <v>40</v>
      </c>
      <c r="D100" s="101" t="e" cm="1">
        <f t="array" aca="1" ref="D100" ca="1">_xll.RiskMax(PDR_14)</f>
        <v>#NAME?</v>
      </c>
      <c r="E100" s="101" t="e" cm="1">
        <f t="array" aca="1" ref="E100" ca="1">_xll.RiskMax(ARD_14)</f>
        <v>#NAME?</v>
      </c>
      <c r="F100" s="101" t="e" cm="1">
        <f t="array" aca="1" ref="F100" ca="1">_xll.RiskMax(IRD_14)</f>
        <v>#NAME?</v>
      </c>
      <c r="G100" s="101" t="e" cm="1">
        <f t="array" aca="1" ref="G100" ca="1">_xll.RiskMax(CRD_14)</f>
        <v>#NAME?</v>
      </c>
      <c r="H100" s="101" t="e" cm="1">
        <f t="array" aca="1" ref="H100" ca="1">_xll.RiskMax(LCRD_14)</f>
        <v>#NAME?</v>
      </c>
    </row>
    <row r="101" spans="1:8" x14ac:dyDescent="0.35">
      <c r="A101" s="71"/>
      <c r="B101" s="102"/>
      <c r="C101" s="100" t="s">
        <v>202</v>
      </c>
      <c r="D101" s="101" t="e" cm="1">
        <f t="array" aca="1" ref="D101" ca="1">_xll.RiskPercentile(PDR_14, 0.99)</f>
        <v>#NAME?</v>
      </c>
      <c r="E101" s="101" t="e" cm="1">
        <f t="array" aca="1" ref="E101" ca="1">_xll.RiskPercentile(ARD_14, 0.99)</f>
        <v>#NAME?</v>
      </c>
      <c r="F101" s="101" t="e" cm="1">
        <f t="array" aca="1" ref="F101" ca="1">_xll.RiskPercentile(IRD_14, 0.99)</f>
        <v>#NAME?</v>
      </c>
      <c r="G101" s="101" t="e" cm="1">
        <f t="array" aca="1" ref="G101" ca="1">_xll.RiskPercentile(CRD_14, 0.99)</f>
        <v>#NAME?</v>
      </c>
      <c r="H101" s="101" t="e" cm="1">
        <f t="array" aca="1" ref="H101" ca="1">_xll.RiskPercentile(LCRD_14, 0.99)</f>
        <v>#NAME?</v>
      </c>
    </row>
    <row r="102" spans="1:8" x14ac:dyDescent="0.35">
      <c r="A102" s="71"/>
      <c r="B102" s="102"/>
      <c r="C102" s="100" t="s">
        <v>203</v>
      </c>
      <c r="D102" s="101" t="e" cm="1">
        <f t="array" aca="1" ref="D102" ca="1">_xll.RiskPercentile(PDR_14, 0.95)</f>
        <v>#NAME?</v>
      </c>
      <c r="E102" s="101" t="e" cm="1">
        <f t="array" aca="1" ref="E102" ca="1">_xll.RiskPercentile(ARD_14, 0.95)</f>
        <v>#NAME?</v>
      </c>
      <c r="F102" s="101" t="e" cm="1">
        <f t="array" aca="1" ref="F102" ca="1">_xll.RiskPercentile(IRD_14, 0.95)</f>
        <v>#NAME?</v>
      </c>
      <c r="G102" s="101" t="e" cm="1">
        <f t="array" aca="1" ref="G102" ca="1">_xll.RiskPercentile(CRD_14, 0.95)</f>
        <v>#NAME?</v>
      </c>
      <c r="H102" s="101" t="e" cm="1">
        <f t="array" aca="1" ref="H102" ca="1">_xll.RiskPercentile(LCRD_14, 0.95)</f>
        <v>#NAME?</v>
      </c>
    </row>
    <row r="103" spans="1:8" x14ac:dyDescent="0.35">
      <c r="A103" s="71"/>
      <c r="B103" s="102"/>
      <c r="C103" s="100" t="s">
        <v>204</v>
      </c>
      <c r="D103" s="101" t="e" cm="1">
        <f t="array" aca="1" ref="D103" ca="1">_xll.RiskPercentile(PDR_14, 0.5)</f>
        <v>#NAME?</v>
      </c>
      <c r="E103" s="101" t="e" cm="1">
        <f t="array" aca="1" ref="E103" ca="1">_xll.RiskPercentile(ARD_14, 0.5)</f>
        <v>#NAME?</v>
      </c>
      <c r="F103" s="101" t="e" cm="1">
        <f t="array" aca="1" ref="F103" ca="1">_xll.RiskPercentile(IRD_14, 0.5)</f>
        <v>#NAME?</v>
      </c>
      <c r="G103" s="101" t="e" cm="1">
        <f t="array" aca="1" ref="G103" ca="1">_xll.RiskPercentile(CRD_14, 0.5)</f>
        <v>#NAME?</v>
      </c>
      <c r="H103" s="101" t="e" cm="1">
        <f t="array" aca="1" ref="H103" ca="1">_xll.RiskPercentile(LCRD_14, 0.5)</f>
        <v>#NAME?</v>
      </c>
    </row>
    <row r="104" spans="1:8" x14ac:dyDescent="0.35">
      <c r="A104" s="71"/>
      <c r="B104" s="102"/>
      <c r="C104" s="100" t="s">
        <v>205</v>
      </c>
      <c r="D104" s="101" t="e" cm="1">
        <f t="array" aca="1" ref="D104" ca="1">_xll.RiskPercentile(PDR_14, 0.05)</f>
        <v>#NAME?</v>
      </c>
      <c r="E104" s="101" t="e" cm="1">
        <f t="array" aca="1" ref="E104" ca="1">_xll.RiskPercentile(ARD_14, 0.05)</f>
        <v>#NAME?</v>
      </c>
      <c r="F104" s="101" t="e" cm="1">
        <f t="array" aca="1" ref="F104" ca="1">_xll.RiskPercentile(IRD_14, 0.05)</f>
        <v>#NAME?</v>
      </c>
      <c r="G104" s="101" t="e" cm="1">
        <f t="array" aca="1" ref="G104" ca="1">_xll.RiskPercentile(CRD_14, 0.05)</f>
        <v>#NAME?</v>
      </c>
      <c r="H104" s="101" t="e" cm="1">
        <f t="array" aca="1" ref="H104" ca="1">_xll.RiskPercentile(LCRD_14, 0.05)</f>
        <v>#NAME?</v>
      </c>
    </row>
    <row r="105" spans="1:8" x14ac:dyDescent="0.35">
      <c r="A105" s="71"/>
      <c r="B105" s="102"/>
      <c r="C105" s="100" t="s">
        <v>206</v>
      </c>
      <c r="D105" s="101" t="e" cm="1">
        <f t="array" aca="1" ref="D105" ca="1">_xll.RiskMin(PDR_14)</f>
        <v>#NAME?</v>
      </c>
      <c r="E105" s="101" t="e" cm="1">
        <f t="array" aca="1" ref="E105" ca="1">_xll.RiskMin(ARD_14)</f>
        <v>#NAME?</v>
      </c>
      <c r="F105" s="101" t="e" cm="1">
        <f t="array" aca="1" ref="F105" ca="1">_xll.RiskMin(IRD_14)</f>
        <v>#NAME?</v>
      </c>
      <c r="G105" s="101" t="e" cm="1">
        <f t="array" aca="1" ref="G105" ca="1">_xll.RiskMin(CRD_14)</f>
        <v>#NAME?</v>
      </c>
      <c r="H105" s="101" t="e" cm="1">
        <f t="array" aca="1" ref="H105" ca="1">_xll.RiskMin(LCRD_14)</f>
        <v>#NAME?</v>
      </c>
    </row>
    <row r="106" spans="1:8" x14ac:dyDescent="0.35">
      <c r="A106" s="71"/>
      <c r="B106" s="102"/>
      <c r="C106" s="100" t="s">
        <v>207</v>
      </c>
      <c r="D106" s="101" t="e" cm="1">
        <f t="array" aca="1" ref="D106" ca="1">_xll.RiskMean(PDR_14)</f>
        <v>#NAME?</v>
      </c>
      <c r="E106" s="101" t="e" cm="1">
        <f t="array" aca="1" ref="E106" ca="1">_xll.RiskMean(ARD_14)</f>
        <v>#NAME?</v>
      </c>
      <c r="F106" s="101" t="e" cm="1">
        <f t="array" aca="1" ref="F106" ca="1">_xll.RiskMean(IRD_14)</f>
        <v>#NAME?</v>
      </c>
      <c r="G106" s="101" t="e" cm="1">
        <f t="array" aca="1" ref="G106" ca="1">_xll.RiskMean(CRD_14)</f>
        <v>#NAME?</v>
      </c>
      <c r="H106" s="101" t="e" cm="1">
        <f t="array" aca="1" ref="H106" ca="1">_xll.RiskMean(LCRD_14)</f>
        <v>#NAME?</v>
      </c>
    </row>
    <row r="107" spans="1:8" x14ac:dyDescent="0.35">
      <c r="A107" s="71" t="s">
        <v>99</v>
      </c>
      <c r="B107" s="102" t="str">
        <f>VLOOKUP(A107, 'OES Lookups'!$B$2:$C$19, 2, FALSE)</f>
        <v>Blowing agent in spray foam</v>
      </c>
      <c r="C107" s="100" t="s">
        <v>40</v>
      </c>
      <c r="D107" s="101" t="e" cm="1">
        <f t="array" aca="1" ref="D107" ca="1">_xll.RiskMax(PDR_15)</f>
        <v>#NAME?</v>
      </c>
      <c r="E107" s="101" t="e" cm="1">
        <f t="array" aca="1" ref="E107" ca="1">_xll.RiskMax(ARD_15)</f>
        <v>#NAME?</v>
      </c>
      <c r="F107" s="101" t="e" cm="1">
        <f t="array" aca="1" ref="F107" ca="1">_xll.RiskMax(IRD_15)</f>
        <v>#NAME?</v>
      </c>
      <c r="G107" s="101" t="e" cm="1">
        <f t="array" aca="1" ref="G107" ca="1">_xll.RiskMax(CRD_15)</f>
        <v>#NAME?</v>
      </c>
      <c r="H107" s="101" t="e" cm="1">
        <f t="array" aca="1" ref="H107" ca="1">_xll.RiskMax(LCRD_15)</f>
        <v>#NAME?</v>
      </c>
    </row>
    <row r="108" spans="1:8" x14ac:dyDescent="0.35">
      <c r="A108" s="71"/>
      <c r="B108" s="102"/>
      <c r="C108" s="100" t="s">
        <v>202</v>
      </c>
      <c r="D108" s="101" t="e" cm="1">
        <f t="array" aca="1" ref="D108" ca="1">_xll.RiskPercentile(PDR_15, 0.99)</f>
        <v>#NAME?</v>
      </c>
      <c r="E108" s="101" t="e" cm="1">
        <f t="array" aca="1" ref="E108" ca="1">_xll.RiskPercentile(ARD_15, 0.99)</f>
        <v>#NAME?</v>
      </c>
      <c r="F108" s="101" t="e" cm="1">
        <f t="array" aca="1" ref="F108" ca="1">_xll.RiskPercentile(IRD_15, 0.99)</f>
        <v>#NAME?</v>
      </c>
      <c r="G108" s="101" t="e" cm="1">
        <f t="array" aca="1" ref="G108" ca="1">_xll.RiskPercentile(CRD_15, 0.99)</f>
        <v>#NAME?</v>
      </c>
      <c r="H108" s="101" t="e" cm="1">
        <f t="array" aca="1" ref="H108" ca="1">_xll.RiskPercentile(LCRD_15, 0.99)</f>
        <v>#NAME?</v>
      </c>
    </row>
    <row r="109" spans="1:8" x14ac:dyDescent="0.35">
      <c r="A109" s="71"/>
      <c r="B109" s="102"/>
      <c r="C109" s="100" t="s">
        <v>203</v>
      </c>
      <c r="D109" s="101" t="e" cm="1">
        <f t="array" aca="1" ref="D109" ca="1">_xll.RiskPercentile(PDR_15, 0.95)</f>
        <v>#NAME?</v>
      </c>
      <c r="E109" s="101" t="e" cm="1">
        <f t="array" aca="1" ref="E109" ca="1">_xll.RiskPercentile(ARD_15, 0.95)</f>
        <v>#NAME?</v>
      </c>
      <c r="F109" s="101" t="e" cm="1">
        <f t="array" aca="1" ref="F109" ca="1">_xll.RiskPercentile(IRD_15, 0.95)</f>
        <v>#NAME?</v>
      </c>
      <c r="G109" s="101" t="e" cm="1">
        <f t="array" aca="1" ref="G109" ca="1">_xll.RiskPercentile(CRD_15, 0.95)</f>
        <v>#NAME?</v>
      </c>
      <c r="H109" s="101" t="e" cm="1">
        <f t="array" aca="1" ref="H109" ca="1">_xll.RiskPercentile(LCRD_15, 0.95)</f>
        <v>#NAME?</v>
      </c>
    </row>
    <row r="110" spans="1:8" x14ac:dyDescent="0.35">
      <c r="A110" s="71"/>
      <c r="B110" s="102"/>
      <c r="C110" s="100" t="s">
        <v>204</v>
      </c>
      <c r="D110" s="101" t="e" cm="1">
        <f t="array" aca="1" ref="D110" ca="1">_xll.RiskPercentile(PDR_15, 0.5)</f>
        <v>#NAME?</v>
      </c>
      <c r="E110" s="101" t="e" cm="1">
        <f t="array" aca="1" ref="E110" ca="1">_xll.RiskPercentile(ARD_15, 0.5)</f>
        <v>#NAME?</v>
      </c>
      <c r="F110" s="101" t="e" cm="1">
        <f t="array" aca="1" ref="F110" ca="1">_xll.RiskPercentile(IRD_15, 0.5)</f>
        <v>#NAME?</v>
      </c>
      <c r="G110" s="101" t="e" cm="1">
        <f t="array" aca="1" ref="G110" ca="1">_xll.RiskPercentile(CRD_15, 0.5)</f>
        <v>#NAME?</v>
      </c>
      <c r="H110" s="101" t="e" cm="1">
        <f t="array" aca="1" ref="H110" ca="1">_xll.RiskPercentile(LCRD_15, 0.5)</f>
        <v>#NAME?</v>
      </c>
    </row>
    <row r="111" spans="1:8" x14ac:dyDescent="0.35">
      <c r="A111" s="71"/>
      <c r="B111" s="102"/>
      <c r="C111" s="100" t="s">
        <v>205</v>
      </c>
      <c r="D111" s="101" t="e" cm="1">
        <f t="array" aca="1" ref="D111" ca="1">_xll.RiskPercentile(PDR_15, 0.05)</f>
        <v>#NAME?</v>
      </c>
      <c r="E111" s="101" t="e" cm="1">
        <f t="array" aca="1" ref="E111" ca="1">_xll.RiskPercentile(ARD_15, 0.05)</f>
        <v>#NAME?</v>
      </c>
      <c r="F111" s="101" t="e" cm="1">
        <f t="array" aca="1" ref="F111" ca="1">_xll.RiskPercentile(IRD_15, 0.05)</f>
        <v>#NAME?</v>
      </c>
      <c r="G111" s="101" t="e" cm="1">
        <f t="array" aca="1" ref="G111" ca="1">_xll.RiskPercentile(CRD_15, 0.05)</f>
        <v>#NAME?</v>
      </c>
      <c r="H111" s="101" t="e" cm="1">
        <f t="array" aca="1" ref="H111" ca="1">_xll.RiskPercentile(LCRD_15, 0.05)</f>
        <v>#NAME?</v>
      </c>
    </row>
    <row r="112" spans="1:8" x14ac:dyDescent="0.35">
      <c r="A112" s="71"/>
      <c r="B112" s="102"/>
      <c r="C112" s="100" t="s">
        <v>206</v>
      </c>
      <c r="D112" s="101" t="e" cm="1">
        <f t="array" aca="1" ref="D112" ca="1">_xll.RiskMin(PDR_15)</f>
        <v>#NAME?</v>
      </c>
      <c r="E112" s="101" t="e" cm="1">
        <f t="array" aca="1" ref="E112" ca="1">_xll.RiskMin(ARD_15)</f>
        <v>#NAME?</v>
      </c>
      <c r="F112" s="101" t="e" cm="1">
        <f t="array" aca="1" ref="F112" ca="1">_xll.RiskMin(IRD_15)</f>
        <v>#NAME?</v>
      </c>
      <c r="G112" s="101" t="e" cm="1">
        <f t="array" aca="1" ref="G112" ca="1">_xll.RiskMin(CRD_15)</f>
        <v>#NAME?</v>
      </c>
      <c r="H112" s="101" t="e" cm="1">
        <f t="array" aca="1" ref="H112" ca="1">_xll.RiskMin(LCRD_15)</f>
        <v>#NAME?</v>
      </c>
    </row>
    <row r="113" spans="1:8" x14ac:dyDescent="0.35">
      <c r="A113" s="71"/>
      <c r="B113" s="102"/>
      <c r="C113" s="100" t="s">
        <v>207</v>
      </c>
      <c r="D113" s="101" t="e" cm="1">
        <f t="array" aca="1" ref="D113" ca="1">_xll.RiskMean(PDR_15)</f>
        <v>#NAME?</v>
      </c>
      <c r="E113" s="101" t="e" cm="1">
        <f t="array" aca="1" ref="E113" ca="1">_xll.RiskMean(ARD_15)</f>
        <v>#NAME?</v>
      </c>
      <c r="F113" s="101" t="e" cm="1">
        <f t="array" aca="1" ref="F113" ca="1">_xll.RiskMean(IRD_15)</f>
        <v>#NAME?</v>
      </c>
      <c r="G113" s="101" t="e" cm="1">
        <f t="array" aca="1" ref="G113" ca="1">_xll.RiskMean(CRD_15)</f>
        <v>#NAME?</v>
      </c>
      <c r="H113" s="101" t="e" cm="1">
        <f t="array" aca="1" ref="H113" ca="1">_xll.RiskMean(LCRD_15)</f>
        <v>#NAME?</v>
      </c>
    </row>
    <row r="114" spans="1:8" x14ac:dyDescent="0.35">
      <c r="A114" s="71" t="s">
        <v>101</v>
      </c>
      <c r="B114" s="102" t="str">
        <f>VLOOKUP(A114, 'OES Lookups'!$B$2:$C$19, 2, FALSE)</f>
        <v>Waste handling, disposal, treatment, and recycling</v>
      </c>
      <c r="C114" s="100" t="s">
        <v>40</v>
      </c>
      <c r="D114" s="101" t="e" cm="1">
        <f t="array" aca="1" ref="D114" ca="1">_xll.RiskMax(PDR_16)</f>
        <v>#NAME?</v>
      </c>
      <c r="E114" s="101" t="e" cm="1">
        <f t="array" aca="1" ref="E114" ca="1">_xll.RiskMax(ARD_16)</f>
        <v>#NAME?</v>
      </c>
      <c r="F114" s="101" t="e" cm="1">
        <f t="array" aca="1" ref="F114" ca="1">_xll.RiskMax(IRD_16)</f>
        <v>#NAME?</v>
      </c>
      <c r="G114" s="101" t="e" cm="1">
        <f t="array" aca="1" ref="G114" ca="1">_xll.RiskMax(CRD_16)</f>
        <v>#NAME?</v>
      </c>
      <c r="H114" s="101" t="e" cm="1">
        <f t="array" aca="1" ref="H114" ca="1">_xll.RiskMax(LCRD_16)</f>
        <v>#NAME?</v>
      </c>
    </row>
    <row r="115" spans="1:8" x14ac:dyDescent="0.35">
      <c r="A115" s="71"/>
      <c r="B115" s="102"/>
      <c r="C115" s="100" t="s">
        <v>202</v>
      </c>
      <c r="D115" s="101" t="e" cm="1">
        <f t="array" aca="1" ref="D115" ca="1">_xll.RiskPercentile(PDR_16, 0.99)</f>
        <v>#NAME?</v>
      </c>
      <c r="E115" s="101" t="e" cm="1">
        <f t="array" aca="1" ref="E115" ca="1">_xll.RiskPercentile(ARD_16, 0.99)</f>
        <v>#NAME?</v>
      </c>
      <c r="F115" s="101" t="e" cm="1">
        <f t="array" aca="1" ref="F115" ca="1">_xll.RiskPercentile(IRD_16, 0.99)</f>
        <v>#NAME?</v>
      </c>
      <c r="G115" s="101" t="e" cm="1">
        <f t="array" aca="1" ref="G115" ca="1">_xll.RiskPercentile(CRD_16, 0.99)</f>
        <v>#NAME?</v>
      </c>
      <c r="H115" s="101" t="e" cm="1">
        <f t="array" aca="1" ref="H115" ca="1">_xll.RiskPercentile(LCRD_16, 0.99)</f>
        <v>#NAME?</v>
      </c>
    </row>
    <row r="116" spans="1:8" x14ac:dyDescent="0.35">
      <c r="A116" s="71"/>
      <c r="B116" s="102"/>
      <c r="C116" s="100" t="s">
        <v>203</v>
      </c>
      <c r="D116" s="101" t="e" cm="1">
        <f t="array" aca="1" ref="D116" ca="1">_xll.RiskPercentile(PDR_16, 0.95)</f>
        <v>#NAME?</v>
      </c>
      <c r="E116" s="101" t="e" cm="1">
        <f t="array" aca="1" ref="E116" ca="1">_xll.RiskPercentile(ARD_16, 0.95)</f>
        <v>#NAME?</v>
      </c>
      <c r="F116" s="101" t="e" cm="1">
        <f t="array" aca="1" ref="F116" ca="1">_xll.RiskPercentile(IRD_16, 0.95)</f>
        <v>#NAME?</v>
      </c>
      <c r="G116" s="101" t="e" cm="1">
        <f t="array" aca="1" ref="G116" ca="1">_xll.RiskPercentile(CRD_16, 0.95)</f>
        <v>#NAME?</v>
      </c>
      <c r="H116" s="101" t="e" cm="1">
        <f t="array" aca="1" ref="H116" ca="1">_xll.RiskPercentile(LCRD_16, 0.95)</f>
        <v>#NAME?</v>
      </c>
    </row>
    <row r="117" spans="1:8" x14ac:dyDescent="0.35">
      <c r="A117" s="71"/>
      <c r="B117" s="102"/>
      <c r="C117" s="100" t="s">
        <v>204</v>
      </c>
      <c r="D117" s="101" t="e" cm="1">
        <f t="array" aca="1" ref="D117" ca="1">_xll.RiskPercentile(PDR_16, 0.5)</f>
        <v>#NAME?</v>
      </c>
      <c r="E117" s="101" t="e" cm="1">
        <f t="array" aca="1" ref="E117" ca="1">_xll.RiskPercentile(ARD_16, 0.5)</f>
        <v>#NAME?</v>
      </c>
      <c r="F117" s="101" t="e" cm="1">
        <f t="array" aca="1" ref="F117" ca="1">_xll.RiskPercentile(IRD_16, 0.5)</f>
        <v>#NAME?</v>
      </c>
      <c r="G117" s="101" t="e" cm="1">
        <f t="array" aca="1" ref="G117" ca="1">_xll.RiskPercentile(CRD_16, 0.5)</f>
        <v>#NAME?</v>
      </c>
      <c r="H117" s="101" t="e" cm="1">
        <f t="array" aca="1" ref="H117" ca="1">_xll.RiskPercentile(LCRD_16, 0.5)</f>
        <v>#NAME?</v>
      </c>
    </row>
    <row r="118" spans="1:8" x14ac:dyDescent="0.35">
      <c r="A118" s="71"/>
      <c r="B118" s="102"/>
      <c r="C118" s="100" t="s">
        <v>205</v>
      </c>
      <c r="D118" s="101" t="e" cm="1">
        <f t="array" aca="1" ref="D118" ca="1">_xll.RiskPercentile(PDR_16, 0.05)</f>
        <v>#NAME?</v>
      </c>
      <c r="E118" s="101" t="e" cm="1">
        <f t="array" aca="1" ref="E118" ca="1">_xll.RiskPercentile(ARD_16, 0.05)</f>
        <v>#NAME?</v>
      </c>
      <c r="F118" s="101" t="e" cm="1">
        <f t="array" aca="1" ref="F118" ca="1">_xll.RiskPercentile(IRD_16, 0.05)</f>
        <v>#NAME?</v>
      </c>
      <c r="G118" s="101" t="e" cm="1">
        <f t="array" aca="1" ref="G118" ca="1">_xll.RiskPercentile(CRD_16, 0.05)</f>
        <v>#NAME?</v>
      </c>
      <c r="H118" s="101" t="e" cm="1">
        <f t="array" aca="1" ref="H118" ca="1">_xll.RiskPercentile(LCRD_16, 0.05)</f>
        <v>#NAME?</v>
      </c>
    </row>
    <row r="119" spans="1:8" x14ac:dyDescent="0.35">
      <c r="A119" s="71"/>
      <c r="B119" s="102"/>
      <c r="C119" s="100" t="s">
        <v>206</v>
      </c>
      <c r="D119" s="101" t="e" cm="1">
        <f t="array" aca="1" ref="D119" ca="1">_xll.RiskMin(PDR_16)</f>
        <v>#NAME?</v>
      </c>
      <c r="E119" s="101" t="e" cm="1">
        <f t="array" aca="1" ref="E119" ca="1">_xll.RiskMin(ARD_16)</f>
        <v>#NAME?</v>
      </c>
      <c r="F119" s="101" t="e" cm="1">
        <f t="array" aca="1" ref="F119" ca="1">_xll.RiskMin(IRD_16)</f>
        <v>#NAME?</v>
      </c>
      <c r="G119" s="101" t="e" cm="1">
        <f t="array" aca="1" ref="G119" ca="1">_xll.RiskMin(CRD_16)</f>
        <v>#NAME?</v>
      </c>
      <c r="H119" s="101" t="e" cm="1">
        <f t="array" aca="1" ref="H119" ca="1">_xll.RiskMin(LCRD_16)</f>
        <v>#NAME?</v>
      </c>
    </row>
    <row r="120" spans="1:8" x14ac:dyDescent="0.35">
      <c r="A120" s="71"/>
      <c r="B120" s="102"/>
      <c r="C120" s="100" t="s">
        <v>207</v>
      </c>
      <c r="D120" s="101" t="e" cm="1">
        <f t="array" aca="1" ref="D120" ca="1">_xll.RiskMean(PDR_16)</f>
        <v>#NAME?</v>
      </c>
      <c r="E120" s="101" t="e" cm="1">
        <f t="array" aca="1" ref="E120" ca="1">_xll.RiskMean(ARD_16)</f>
        <v>#NAME?</v>
      </c>
      <c r="F120" s="101" t="e" cm="1">
        <f t="array" aca="1" ref="F120" ca="1">_xll.RiskMean(IRD_16)</f>
        <v>#NAME?</v>
      </c>
      <c r="G120" s="101" t="e" cm="1">
        <f t="array" aca="1" ref="G120" ca="1">_xll.RiskMean(CRD_16)</f>
        <v>#NAME?</v>
      </c>
      <c r="H120" s="101" t="e" cm="1">
        <f t="array" aca="1" ref="H120" ca="1">_xll.RiskMean(LCRD_16)</f>
        <v>#NAME?</v>
      </c>
    </row>
  </sheetData>
  <sheetProtection sheet="1" objects="1" scenarios="1" formatCells="0" formatColumns="0" formatRows="0" sort="0" autoFilter="0"/>
  <autoFilter ref="A1:H120" xr:uid="{029BA4E2-F79B-4E2C-ADD8-18AC0F7B69EA}">
    <filterColumn colId="0" showButton="0"/>
  </autoFilter>
  <mergeCells count="21">
    <mergeCell ref="D6:H6"/>
    <mergeCell ref="B9:B15"/>
    <mergeCell ref="B51:B57"/>
    <mergeCell ref="A1:B1"/>
    <mergeCell ref="A6:A8"/>
    <mergeCell ref="B6:B8"/>
    <mergeCell ref="C6:C8"/>
    <mergeCell ref="B16:B22"/>
    <mergeCell ref="B23:B29"/>
    <mergeCell ref="B30:B36"/>
    <mergeCell ref="B37:B43"/>
    <mergeCell ref="B44:B50"/>
    <mergeCell ref="B100:B106"/>
    <mergeCell ref="B107:B113"/>
    <mergeCell ref="B114:B120"/>
    <mergeCell ref="B58:B64"/>
    <mergeCell ref="B65:B71"/>
    <mergeCell ref="B72:B78"/>
    <mergeCell ref="B79:B85"/>
    <mergeCell ref="B86:B92"/>
    <mergeCell ref="B93:B99"/>
  </mergeCells>
  <conditionalFormatting sqref="D9:H120">
    <cfRule type="cellIs" dxfId="13" priority="1" operator="greaterThanOrEqual">
      <formula>10000</formula>
    </cfRule>
    <cfRule type="cellIs" dxfId="12" priority="2" operator="greaterThanOrEqual">
      <formula>10</formula>
    </cfRule>
    <cfRule type="cellIs" dxfId="11" priority="3" operator="between">
      <formula>1</formula>
      <formula>9.999</formula>
    </cfRule>
    <cfRule type="cellIs" dxfId="10" priority="4" operator="between">
      <formula>0.1</formula>
      <formula>0.999</formula>
    </cfRule>
    <cfRule type="cellIs" dxfId="9" priority="5" operator="lessThanOrEqual">
      <formula>0.1</formula>
    </cfRule>
    <cfRule type="containsBlanks" dxfId="8" priority="6" stopIfTrue="1">
      <formula>LEN(TRIM(D9))=0</formula>
    </cfRule>
    <cfRule type="cellIs" dxfId="7" priority="7" operator="equal">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020E-9A98-4EFA-B58F-E48F9FA82AE7}">
  <sheetPr codeName="Sheet7"/>
  <dimension ref="A1:H120"/>
  <sheetViews>
    <sheetView zoomScale="80" zoomScaleNormal="80" workbookViewId="0">
      <selection sqref="A1:B1"/>
    </sheetView>
  </sheetViews>
  <sheetFormatPr defaultRowHeight="14.5" x14ac:dyDescent="0.35"/>
  <cols>
    <col min="1" max="1" width="18" style="2" customWidth="1"/>
    <col min="2" max="3" width="18.1796875" style="2" customWidth="1"/>
    <col min="4" max="8" width="23.26953125" style="2" customWidth="1"/>
    <col min="9" max="16384" width="8.7265625" style="2"/>
  </cols>
  <sheetData>
    <row r="1" spans="1:8" x14ac:dyDescent="0.35">
      <c r="A1" s="95" t="s">
        <v>189</v>
      </c>
      <c r="B1" s="95"/>
    </row>
    <row r="2" spans="1:8" x14ac:dyDescent="0.35">
      <c r="A2" s="21" t="s">
        <v>190</v>
      </c>
      <c r="B2" s="96">
        <v>100000</v>
      </c>
    </row>
    <row r="3" spans="1:8" x14ac:dyDescent="0.35">
      <c r="A3" s="21" t="s">
        <v>191</v>
      </c>
      <c r="B3" s="67" t="s">
        <v>192</v>
      </c>
    </row>
    <row r="4" spans="1:8" x14ac:dyDescent="0.35">
      <c r="B4" s="4"/>
    </row>
    <row r="5" spans="1:8" x14ac:dyDescent="0.35">
      <c r="B5" s="4"/>
    </row>
    <row r="6" spans="1:8" x14ac:dyDescent="0.35">
      <c r="A6" s="97" t="s">
        <v>193</v>
      </c>
      <c r="B6" s="97" t="s">
        <v>194</v>
      </c>
      <c r="C6" s="97" t="s">
        <v>195</v>
      </c>
      <c r="D6" s="97" t="s">
        <v>196</v>
      </c>
      <c r="E6" s="97"/>
      <c r="F6" s="97"/>
      <c r="G6" s="97"/>
      <c r="H6" s="97"/>
    </row>
    <row r="7" spans="1:8" ht="29" x14ac:dyDescent="0.35">
      <c r="A7" s="97"/>
      <c r="B7" s="97"/>
      <c r="C7" s="97"/>
      <c r="D7" s="98" t="s">
        <v>172</v>
      </c>
      <c r="E7" s="98" t="s">
        <v>176</v>
      </c>
      <c r="F7" s="98" t="s">
        <v>180</v>
      </c>
      <c r="G7" s="98" t="s">
        <v>183</v>
      </c>
      <c r="H7" s="98" t="s">
        <v>186</v>
      </c>
    </row>
    <row r="8" spans="1:8" x14ac:dyDescent="0.35">
      <c r="A8" s="97"/>
      <c r="B8" s="97"/>
      <c r="C8" s="97"/>
      <c r="D8" s="98" t="s">
        <v>197</v>
      </c>
      <c r="E8" s="98" t="s">
        <v>198</v>
      </c>
      <c r="F8" s="98" t="s">
        <v>199</v>
      </c>
      <c r="G8" s="98" t="s">
        <v>200</v>
      </c>
      <c r="H8" s="98" t="s">
        <v>201</v>
      </c>
    </row>
    <row r="9" spans="1:8" x14ac:dyDescent="0.35">
      <c r="A9" s="71" t="s">
        <v>63</v>
      </c>
      <c r="B9" s="99" t="s">
        <v>208</v>
      </c>
      <c r="C9" s="100" t="s">
        <v>40</v>
      </c>
      <c r="D9" s="101">
        <v>36.042275051234569</v>
      </c>
      <c r="E9" s="101">
        <v>0.45052843814043209</v>
      </c>
      <c r="F9" s="101">
        <v>0.33038752130298354</v>
      </c>
      <c r="G9" s="101">
        <v>0.30858112201399457</v>
      </c>
      <c r="H9" s="101">
        <v>0.16708975155520547</v>
      </c>
    </row>
    <row r="10" spans="1:8" x14ac:dyDescent="0.35">
      <c r="A10" s="71"/>
      <c r="B10" s="99"/>
      <c r="C10" s="100" t="s">
        <v>202</v>
      </c>
      <c r="D10" s="101">
        <v>26.701130973828967</v>
      </c>
      <c r="E10" s="101">
        <v>0.33376413717286207</v>
      </c>
      <c r="F10" s="101">
        <v>0.24476036726009884</v>
      </c>
      <c r="G10" s="101">
        <v>0.22860557340606991</v>
      </c>
      <c r="H10" s="101">
        <v>9.72855036154609E-2</v>
      </c>
    </row>
    <row r="11" spans="1:8" x14ac:dyDescent="0.35">
      <c r="A11" s="71"/>
      <c r="B11" s="99"/>
      <c r="C11" s="100" t="s">
        <v>203</v>
      </c>
      <c r="D11" s="101">
        <v>20.634000633971503</v>
      </c>
      <c r="E11" s="101">
        <v>0.25792500792464379</v>
      </c>
      <c r="F11" s="101">
        <v>0.18914500581140545</v>
      </c>
      <c r="G11" s="101">
        <v>0.17666096433194781</v>
      </c>
      <c r="H11" s="101">
        <v>7.1615763918002631E-2</v>
      </c>
    </row>
    <row r="12" spans="1:8" x14ac:dyDescent="0.35">
      <c r="A12" s="71"/>
      <c r="B12" s="99"/>
      <c r="C12" s="100" t="s">
        <v>204</v>
      </c>
      <c r="D12" s="101">
        <v>7.3694386639452389</v>
      </c>
      <c r="E12" s="101">
        <v>9.211798329931549E-2</v>
      </c>
      <c r="F12" s="101">
        <v>6.7553187752831353E-2</v>
      </c>
      <c r="G12" s="101">
        <v>6.3094509109120192E-2</v>
      </c>
      <c r="H12" s="101">
        <v>2.3230464456071808E-2</v>
      </c>
    </row>
    <row r="13" spans="1:8" x14ac:dyDescent="0.35">
      <c r="A13" s="71"/>
      <c r="B13" s="99"/>
      <c r="C13" s="100" t="s">
        <v>205</v>
      </c>
      <c r="D13" s="101">
        <v>0.73118524495315507</v>
      </c>
      <c r="E13" s="101">
        <v>9.1398155619144376E-3</v>
      </c>
      <c r="F13" s="101">
        <v>6.7025314120705871E-3</v>
      </c>
      <c r="G13" s="101">
        <v>6.2601476451468741E-3</v>
      </c>
      <c r="H13" s="101">
        <v>2.2575549755837624E-3</v>
      </c>
    </row>
    <row r="14" spans="1:8" x14ac:dyDescent="0.35">
      <c r="A14" s="71"/>
      <c r="B14" s="99"/>
      <c r="C14" s="100" t="s">
        <v>206</v>
      </c>
      <c r="D14" s="101">
        <v>1.1379773772405705E-4</v>
      </c>
      <c r="E14" s="101">
        <v>1.422471721550713E-6</v>
      </c>
      <c r="F14" s="101">
        <v>1.0431459291371896E-6</v>
      </c>
      <c r="G14" s="101">
        <v>9.7429569969226912E-7</v>
      </c>
      <c r="H14" s="101">
        <v>2.6733879170811776E-7</v>
      </c>
    </row>
    <row r="15" spans="1:8" x14ac:dyDescent="0.35">
      <c r="A15" s="71"/>
      <c r="B15" s="99"/>
      <c r="C15" s="100" t="s">
        <v>207</v>
      </c>
      <c r="D15" s="101">
        <v>8.5255067367030541</v>
      </c>
      <c r="E15" s="101">
        <v>0.1065688342087879</v>
      </c>
      <c r="F15" s="101">
        <v>7.815047841977886E-2</v>
      </c>
      <c r="G15" s="101">
        <v>7.2992352197798607E-2</v>
      </c>
      <c r="H15" s="101">
        <v>2.8178551357564301E-2</v>
      </c>
    </row>
    <row r="16" spans="1:8" x14ac:dyDescent="0.35">
      <c r="A16" s="71" t="s">
        <v>66</v>
      </c>
      <c r="B16" s="102" t="s">
        <v>209</v>
      </c>
      <c r="C16" s="100" t="s">
        <v>40</v>
      </c>
      <c r="D16" s="101">
        <v>0.46669067501100581</v>
      </c>
      <c r="E16" s="101">
        <v>5.8336334376375724E-3</v>
      </c>
      <c r="F16" s="101">
        <v>4.2779978542675529E-3</v>
      </c>
      <c r="G16" s="101">
        <v>3.9956393408476518E-3</v>
      </c>
      <c r="H16" s="101">
        <v>2.1071245783541243E-3</v>
      </c>
    </row>
    <row r="17" spans="1:8" x14ac:dyDescent="0.35">
      <c r="A17" s="71"/>
      <c r="B17" s="102"/>
      <c r="C17" s="100" t="s">
        <v>202</v>
      </c>
      <c r="D17" s="101">
        <v>0.35015625954400059</v>
      </c>
      <c r="E17" s="101">
        <v>4.3769532443000076E-3</v>
      </c>
      <c r="F17" s="101">
        <v>3.2097657124866719E-3</v>
      </c>
      <c r="G17" s="101">
        <v>2.9979131810274019E-3</v>
      </c>
      <c r="H17" s="101">
        <v>1.2768188042984259E-3</v>
      </c>
    </row>
    <row r="18" spans="1:8" x14ac:dyDescent="0.35">
      <c r="A18" s="71"/>
      <c r="B18" s="102"/>
      <c r="C18" s="100" t="s">
        <v>203</v>
      </c>
      <c r="D18" s="101">
        <v>0.27121133333453668</v>
      </c>
      <c r="E18" s="101">
        <v>3.3901416666817083E-3</v>
      </c>
      <c r="F18" s="101">
        <v>2.4861038888999197E-3</v>
      </c>
      <c r="G18" s="101">
        <v>2.3220148401929511E-3</v>
      </c>
      <c r="H18" s="101">
        <v>9.4332457472160076E-4</v>
      </c>
    </row>
    <row r="19" spans="1:8" x14ac:dyDescent="0.35">
      <c r="A19" s="71"/>
      <c r="B19" s="102"/>
      <c r="C19" s="100" t="s">
        <v>204</v>
      </c>
      <c r="D19" s="101">
        <v>9.7026133834800271E-2</v>
      </c>
      <c r="E19" s="101">
        <v>1.2128266729350035E-3</v>
      </c>
      <c r="F19" s="101">
        <v>8.8940622681900263E-4</v>
      </c>
      <c r="G19" s="101">
        <v>8.3070320064041337E-4</v>
      </c>
      <c r="H19" s="101">
        <v>3.0596170006871333E-4</v>
      </c>
    </row>
    <row r="20" spans="1:8" x14ac:dyDescent="0.35">
      <c r="A20" s="71"/>
      <c r="B20" s="102"/>
      <c r="C20" s="100" t="s">
        <v>205</v>
      </c>
      <c r="D20" s="101">
        <v>9.603436324844776E-3</v>
      </c>
      <c r="E20" s="101">
        <v>1.2004295406055969E-4</v>
      </c>
      <c r="F20" s="101">
        <v>8.8031499644410438E-5</v>
      </c>
      <c r="G20" s="101">
        <v>8.222120141134226E-5</v>
      </c>
      <c r="H20" s="101">
        <v>2.9653641818437981E-5</v>
      </c>
    </row>
    <row r="21" spans="1:8" x14ac:dyDescent="0.35">
      <c r="A21" s="71"/>
      <c r="B21" s="102"/>
      <c r="C21" s="100" t="s">
        <v>206</v>
      </c>
      <c r="D21" s="101">
        <v>1.5254035003537161E-6</v>
      </c>
      <c r="E21" s="101">
        <v>1.9067543754421451E-8</v>
      </c>
      <c r="F21" s="101">
        <v>1.3982865419909063E-8</v>
      </c>
      <c r="G21" s="101">
        <v>1.3059961475631132E-8</v>
      </c>
      <c r="H21" s="101">
        <v>3.5194951667485382E-9</v>
      </c>
    </row>
    <row r="22" spans="1:8" x14ac:dyDescent="0.35">
      <c r="A22" s="71"/>
      <c r="B22" s="102"/>
      <c r="C22" s="100" t="s">
        <v>207</v>
      </c>
      <c r="D22" s="101">
        <v>0.1121817256637842</v>
      </c>
      <c r="E22" s="101">
        <v>1.4022715707973214E-3</v>
      </c>
      <c r="F22" s="101">
        <v>1.0283324852513721E-3</v>
      </c>
      <c r="G22" s="101">
        <v>9.6045997999816865E-4</v>
      </c>
      <c r="H22" s="101">
        <v>3.7078511351729425E-4</v>
      </c>
    </row>
    <row r="23" spans="1:8" x14ac:dyDescent="0.35">
      <c r="A23" s="71" t="s">
        <v>69</v>
      </c>
      <c r="B23" s="102" t="s">
        <v>210</v>
      </c>
      <c r="C23" s="100" t="s">
        <v>40</v>
      </c>
      <c r="D23" s="101">
        <v>37.335254000880461</v>
      </c>
      <c r="E23" s="101">
        <v>0.46669067501100575</v>
      </c>
      <c r="F23" s="101">
        <v>0.34223982834140426</v>
      </c>
      <c r="G23" s="101">
        <v>0.31262915824928827</v>
      </c>
      <c r="H23" s="101">
        <v>0.16009431539282007</v>
      </c>
    </row>
    <row r="24" spans="1:8" x14ac:dyDescent="0.35">
      <c r="A24" s="71"/>
      <c r="B24" s="102"/>
      <c r="C24" s="100" t="s">
        <v>202</v>
      </c>
      <c r="D24" s="101">
        <v>28.012500763520045</v>
      </c>
      <c r="E24" s="101">
        <v>0.35015625954400054</v>
      </c>
      <c r="F24" s="101">
        <v>0.25678125699893373</v>
      </c>
      <c r="G24" s="101">
        <v>0.21021004639444121</v>
      </c>
      <c r="H24" s="101">
        <v>8.8536536392338189E-2</v>
      </c>
    </row>
    <row r="25" spans="1:8" x14ac:dyDescent="0.35">
      <c r="A25" s="71"/>
      <c r="B25" s="102"/>
      <c r="C25" s="100" t="s">
        <v>203</v>
      </c>
      <c r="D25" s="101">
        <v>21.696906666762931</v>
      </c>
      <c r="E25" s="101">
        <v>0.27121133333453662</v>
      </c>
      <c r="F25" s="101">
        <v>0.19888831111199354</v>
      </c>
      <c r="G25" s="101">
        <v>0.15617824509919795</v>
      </c>
      <c r="H25" s="101">
        <v>6.3386168617795391E-2</v>
      </c>
    </row>
    <row r="26" spans="1:8" x14ac:dyDescent="0.35">
      <c r="A26" s="71"/>
      <c r="B26" s="102"/>
      <c r="C26" s="100" t="s">
        <v>204</v>
      </c>
      <c r="D26" s="101">
        <v>7.7620907067840212</v>
      </c>
      <c r="E26" s="101">
        <v>9.7026133834800271E-2</v>
      </c>
      <c r="F26" s="101">
        <v>7.1152498145520202E-2</v>
      </c>
      <c r="G26" s="101">
        <v>5.3564971765917346E-2</v>
      </c>
      <c r="H26" s="101">
        <v>1.9748757421523586E-2</v>
      </c>
    </row>
    <row r="27" spans="1:8" x14ac:dyDescent="0.35">
      <c r="A27" s="71"/>
      <c r="B27" s="102"/>
      <c r="C27" s="100" t="s">
        <v>205</v>
      </c>
      <c r="D27" s="101">
        <v>0.76827490598758197</v>
      </c>
      <c r="E27" s="101">
        <v>9.6034363248447743E-3</v>
      </c>
      <c r="F27" s="101">
        <v>7.0425199715528344E-3</v>
      </c>
      <c r="G27" s="101">
        <v>5.2471263709485622E-3</v>
      </c>
      <c r="H27" s="101">
        <v>1.9057104200267403E-3</v>
      </c>
    </row>
    <row r="28" spans="1:8" x14ac:dyDescent="0.35">
      <c r="A28" s="71"/>
      <c r="B28" s="102"/>
      <c r="C28" s="100" t="s">
        <v>206</v>
      </c>
      <c r="D28" s="101">
        <v>1.2203228002829729E-4</v>
      </c>
      <c r="E28" s="101">
        <v>1.5254035003537161E-6</v>
      </c>
      <c r="F28" s="101">
        <v>1.1186292335927251E-6</v>
      </c>
      <c r="G28" s="101">
        <v>6.9792434125772758E-7</v>
      </c>
      <c r="H28" s="101">
        <v>2.8155961333988305E-7</v>
      </c>
    </row>
    <row r="29" spans="1:8" x14ac:dyDescent="0.35">
      <c r="A29" s="71"/>
      <c r="B29" s="102"/>
      <c r="C29" s="100" t="s">
        <v>207</v>
      </c>
      <c r="D29" s="101">
        <v>8.9745380531029078</v>
      </c>
      <c r="E29" s="101">
        <v>0.1121817256637842</v>
      </c>
      <c r="F29" s="101">
        <v>8.2266598820110087E-2</v>
      </c>
      <c r="G29" s="101">
        <v>6.3223122266753556E-2</v>
      </c>
      <c r="H29" s="101">
        <v>2.4404092621976715E-2</v>
      </c>
    </row>
    <row r="30" spans="1:8" x14ac:dyDescent="0.35">
      <c r="A30" s="71" t="s">
        <v>72</v>
      </c>
      <c r="B30" s="102" t="s">
        <v>211</v>
      </c>
      <c r="C30" s="100" t="s">
        <v>40</v>
      </c>
      <c r="D30" s="101">
        <v>37.335254000880461</v>
      </c>
      <c r="E30" s="101">
        <v>0.46669067501100575</v>
      </c>
      <c r="F30" s="101">
        <v>0.34223982834140426</v>
      </c>
      <c r="G30" s="101">
        <v>0.31965114726781213</v>
      </c>
      <c r="H30" s="101">
        <v>0.16856996626832993</v>
      </c>
    </row>
    <row r="31" spans="1:8" x14ac:dyDescent="0.35">
      <c r="A31" s="71"/>
      <c r="B31" s="102"/>
      <c r="C31" s="100" t="s">
        <v>202</v>
      </c>
      <c r="D31" s="101">
        <v>28.012500763520045</v>
      </c>
      <c r="E31" s="101">
        <v>0.35015625954400054</v>
      </c>
      <c r="F31" s="101">
        <v>0.25678125699893373</v>
      </c>
      <c r="G31" s="101">
        <v>0.23983305448219214</v>
      </c>
      <c r="H31" s="101">
        <v>0.10214550434387404</v>
      </c>
    </row>
    <row r="32" spans="1:8" x14ac:dyDescent="0.35">
      <c r="A32" s="71"/>
      <c r="B32" s="102"/>
      <c r="C32" s="100" t="s">
        <v>203</v>
      </c>
      <c r="D32" s="101">
        <v>21.696906666762931</v>
      </c>
      <c r="E32" s="101">
        <v>0.27121133333453662</v>
      </c>
      <c r="F32" s="101">
        <v>0.19888831111199354</v>
      </c>
      <c r="G32" s="101">
        <v>0.18576118721543602</v>
      </c>
      <c r="H32" s="101">
        <v>7.5465965977728075E-2</v>
      </c>
    </row>
    <row r="33" spans="1:8" x14ac:dyDescent="0.35">
      <c r="A33" s="71"/>
      <c r="B33" s="102"/>
      <c r="C33" s="100" t="s">
        <v>204</v>
      </c>
      <c r="D33" s="101">
        <v>7.7620907067840212</v>
      </c>
      <c r="E33" s="101">
        <v>9.7026133834800271E-2</v>
      </c>
      <c r="F33" s="101">
        <v>7.1152498145520202E-2</v>
      </c>
      <c r="G33" s="101">
        <v>6.6456256051233065E-2</v>
      </c>
      <c r="H33" s="101">
        <v>2.4476936005497066E-2</v>
      </c>
    </row>
    <row r="34" spans="1:8" x14ac:dyDescent="0.35">
      <c r="A34" s="71"/>
      <c r="B34" s="102"/>
      <c r="C34" s="100" t="s">
        <v>205</v>
      </c>
      <c r="D34" s="101">
        <v>0.76827490598758197</v>
      </c>
      <c r="E34" s="101">
        <v>9.6034363248447743E-3</v>
      </c>
      <c r="F34" s="101">
        <v>7.0425199715528344E-3</v>
      </c>
      <c r="G34" s="101">
        <v>6.5776961129073797E-3</v>
      </c>
      <c r="H34" s="101">
        <v>2.3722913454750382E-3</v>
      </c>
    </row>
    <row r="35" spans="1:8" x14ac:dyDescent="0.35">
      <c r="A35" s="71"/>
      <c r="B35" s="102"/>
      <c r="C35" s="100" t="s">
        <v>206</v>
      </c>
      <c r="D35" s="101">
        <v>1.2203228002829729E-4</v>
      </c>
      <c r="E35" s="101">
        <v>1.5254035003537161E-6</v>
      </c>
      <c r="F35" s="101">
        <v>1.1186292335927251E-6</v>
      </c>
      <c r="G35" s="101">
        <v>1.0447969180504906E-6</v>
      </c>
      <c r="H35" s="101">
        <v>2.8155961333988305E-7</v>
      </c>
    </row>
    <row r="36" spans="1:8" x14ac:dyDescent="0.35">
      <c r="A36" s="71"/>
      <c r="B36" s="102"/>
      <c r="C36" s="100" t="s">
        <v>207</v>
      </c>
      <c r="D36" s="101">
        <v>8.9745380531029078</v>
      </c>
      <c r="E36" s="101">
        <v>0.1121817256637842</v>
      </c>
      <c r="F36" s="101">
        <v>8.2266598820110087E-2</v>
      </c>
      <c r="G36" s="101">
        <v>7.6836798399853204E-2</v>
      </c>
      <c r="H36" s="101">
        <v>2.9662809081384141E-2</v>
      </c>
    </row>
    <row r="37" spans="1:8" x14ac:dyDescent="0.35">
      <c r="A37" s="71" t="s">
        <v>75</v>
      </c>
      <c r="B37" s="102" t="s">
        <v>212</v>
      </c>
      <c r="C37" s="100" t="s">
        <v>40</v>
      </c>
      <c r="D37" s="101">
        <v>36.110312057974269</v>
      </c>
      <c r="E37" s="101">
        <v>0.45137890072467834</v>
      </c>
      <c r="F37" s="101">
        <v>0.33101119386476413</v>
      </c>
      <c r="G37" s="101">
        <v>0.30916363063334129</v>
      </c>
      <c r="H37" s="101">
        <v>0.1674051668983417</v>
      </c>
    </row>
    <row r="38" spans="1:8" x14ac:dyDescent="0.35">
      <c r="A38" s="71"/>
      <c r="B38" s="102"/>
      <c r="C38" s="100" t="s">
        <v>202</v>
      </c>
      <c r="D38" s="101">
        <v>20.306758989861617</v>
      </c>
      <c r="E38" s="101">
        <v>0.25383448737327019</v>
      </c>
      <c r="F38" s="101">
        <v>0.18614529074039815</v>
      </c>
      <c r="G38" s="101">
        <v>0.17385923792689736</v>
      </c>
      <c r="H38" s="101">
        <v>7.2220815683440007E-2</v>
      </c>
    </row>
    <row r="39" spans="1:8" x14ac:dyDescent="0.35">
      <c r="A39" s="71"/>
      <c r="B39" s="102"/>
      <c r="C39" s="100" t="s">
        <v>203</v>
      </c>
      <c r="D39" s="101">
        <v>13.877165674174679</v>
      </c>
      <c r="E39" s="101">
        <v>0.17346457092718348</v>
      </c>
      <c r="F39" s="101">
        <v>0.12720735201326788</v>
      </c>
      <c r="G39" s="101">
        <v>0.11881134995012566</v>
      </c>
      <c r="H39" s="101">
        <v>4.7165838525076796E-2</v>
      </c>
    </row>
    <row r="40" spans="1:8" x14ac:dyDescent="0.35">
      <c r="A40" s="71"/>
      <c r="B40" s="102"/>
      <c r="C40" s="100" t="s">
        <v>204</v>
      </c>
      <c r="D40" s="101">
        <v>3.0709800147887698</v>
      </c>
      <c r="E40" s="101">
        <v>3.8387250184859625E-2</v>
      </c>
      <c r="F40" s="101">
        <v>2.8150650135563726E-2</v>
      </c>
      <c r="G40" s="101">
        <v>2.6292637112917551E-2</v>
      </c>
      <c r="H40" s="101">
        <v>9.7600347248772441E-3</v>
      </c>
    </row>
    <row r="41" spans="1:8" x14ac:dyDescent="0.35">
      <c r="A41" s="71"/>
      <c r="B41" s="102"/>
      <c r="C41" s="100" t="s">
        <v>205</v>
      </c>
      <c r="D41" s="101">
        <v>0.16846174405559511</v>
      </c>
      <c r="E41" s="101">
        <v>2.1057718006949389E-3</v>
      </c>
      <c r="F41" s="101">
        <v>1.5442326538429552E-3</v>
      </c>
      <c r="G41" s="101">
        <v>1.4423094525307801E-3</v>
      </c>
      <c r="H41" s="101">
        <v>5.1537212603746947E-4</v>
      </c>
    </row>
    <row r="42" spans="1:8" x14ac:dyDescent="0.35">
      <c r="A42" s="71"/>
      <c r="B42" s="102"/>
      <c r="C42" s="100" t="s">
        <v>206</v>
      </c>
      <c r="D42" s="101">
        <v>2.9635870865041691E-5</v>
      </c>
      <c r="E42" s="101">
        <v>3.7044838581302114E-7</v>
      </c>
      <c r="F42" s="101">
        <v>2.7166214959621548E-7</v>
      </c>
      <c r="G42" s="101">
        <v>2.53731771104809E-7</v>
      </c>
      <c r="H42" s="101">
        <v>9.0757811384192414E-8</v>
      </c>
    </row>
    <row r="43" spans="1:8" x14ac:dyDescent="0.35">
      <c r="A43" s="71"/>
      <c r="B43" s="102"/>
      <c r="C43" s="100" t="s">
        <v>207</v>
      </c>
      <c r="D43" s="101">
        <v>4.5222707184351849</v>
      </c>
      <c r="E43" s="101">
        <v>5.6528383980439724E-2</v>
      </c>
      <c r="F43" s="101">
        <v>4.1454148252321882E-2</v>
      </c>
      <c r="G43" s="101">
        <v>3.8718071219479053E-2</v>
      </c>
      <c r="H43" s="101">
        <v>1.4952641110059549E-2</v>
      </c>
    </row>
    <row r="44" spans="1:8" x14ac:dyDescent="0.35">
      <c r="A44" s="71" t="s">
        <v>78</v>
      </c>
      <c r="B44" s="102" t="s">
        <v>213</v>
      </c>
      <c r="C44" s="100" t="s">
        <v>40</v>
      </c>
      <c r="D44" s="101">
        <v>36.266221713482523</v>
      </c>
      <c r="E44" s="101">
        <v>0.45332777141853153</v>
      </c>
      <c r="F44" s="101">
        <v>0.33244036570692315</v>
      </c>
      <c r="G44" s="101">
        <v>0.31049847357433669</v>
      </c>
      <c r="H44" s="101">
        <v>0.15338388720602719</v>
      </c>
    </row>
    <row r="45" spans="1:8" x14ac:dyDescent="0.35">
      <c r="A45" s="71"/>
      <c r="B45" s="102"/>
      <c r="C45" s="100" t="s">
        <v>202</v>
      </c>
      <c r="D45" s="101">
        <v>22.402837962835775</v>
      </c>
      <c r="E45" s="101">
        <v>0.28003547453544719</v>
      </c>
      <c r="F45" s="101">
        <v>0.20535934799266128</v>
      </c>
      <c r="G45" s="101">
        <v>0.19180511954482685</v>
      </c>
      <c r="H45" s="101">
        <v>8.0415188946310612E-2</v>
      </c>
    </row>
    <row r="46" spans="1:8" x14ac:dyDescent="0.35">
      <c r="A46" s="71"/>
      <c r="B46" s="102"/>
      <c r="C46" s="100" t="s">
        <v>203</v>
      </c>
      <c r="D46" s="101">
        <v>16.139429892784253</v>
      </c>
      <c r="E46" s="101">
        <v>0.20174287365980317</v>
      </c>
      <c r="F46" s="101">
        <v>0.14794477401718897</v>
      </c>
      <c r="G46" s="101">
        <v>0.13818005045191997</v>
      </c>
      <c r="H46" s="101">
        <v>5.5795863882370643E-2</v>
      </c>
    </row>
    <row r="47" spans="1:8" x14ac:dyDescent="0.35">
      <c r="A47" s="71"/>
      <c r="B47" s="102"/>
      <c r="C47" s="100" t="s">
        <v>204</v>
      </c>
      <c r="D47" s="101">
        <v>4.6566898584012897</v>
      </c>
      <c r="E47" s="101">
        <v>5.8208623230016118E-2</v>
      </c>
      <c r="F47" s="101">
        <v>4.2686323702011822E-2</v>
      </c>
      <c r="G47" s="101">
        <v>3.9868920020558987E-2</v>
      </c>
      <c r="H47" s="101">
        <v>1.4761050044164678E-2</v>
      </c>
    </row>
    <row r="48" spans="1:8" x14ac:dyDescent="0.35">
      <c r="A48" s="71"/>
      <c r="B48" s="102"/>
      <c r="C48" s="100" t="s">
        <v>205</v>
      </c>
      <c r="D48" s="101">
        <v>0.34977145100731644</v>
      </c>
      <c r="E48" s="101">
        <v>4.3721431375914558E-3</v>
      </c>
      <c r="F48" s="101">
        <v>3.2062383009004011E-3</v>
      </c>
      <c r="G48" s="101">
        <v>2.9946185873914082E-3</v>
      </c>
      <c r="H48" s="101">
        <v>1.0958713522648599E-3</v>
      </c>
    </row>
    <row r="49" spans="1:8" x14ac:dyDescent="0.35">
      <c r="A49" s="71"/>
      <c r="B49" s="102"/>
      <c r="C49" s="100" t="s">
        <v>206</v>
      </c>
      <c r="D49" s="101">
        <v>1.0063362177076312E-5</v>
      </c>
      <c r="E49" s="101">
        <v>1.257920272134539E-7</v>
      </c>
      <c r="F49" s="101">
        <v>9.2247486623199523E-8</v>
      </c>
      <c r="G49" s="101">
        <v>8.6158922748941032E-8</v>
      </c>
      <c r="H49" s="101">
        <v>1.4987288860549627E-8</v>
      </c>
    </row>
    <row r="50" spans="1:8" x14ac:dyDescent="0.35">
      <c r="A50" s="71"/>
      <c r="B50" s="102"/>
      <c r="C50" s="100" t="s">
        <v>207</v>
      </c>
      <c r="D50" s="101">
        <v>5.9506598342109935</v>
      </c>
      <c r="E50" s="101">
        <v>7.4383247927636564E-2</v>
      </c>
      <c r="F50" s="101">
        <v>5.4547715146933566E-2</v>
      </c>
      <c r="G50" s="101">
        <v>5.0947430087422127E-2</v>
      </c>
      <c r="H50" s="101">
        <v>1.9670955872033571E-2</v>
      </c>
    </row>
    <row r="51" spans="1:8" x14ac:dyDescent="0.35">
      <c r="A51" s="71" t="s">
        <v>83</v>
      </c>
      <c r="B51" s="102" t="s">
        <v>214</v>
      </c>
      <c r="C51" s="100" t="s">
        <v>40</v>
      </c>
      <c r="D51" s="101">
        <v>35.028147424107175</v>
      </c>
      <c r="E51" s="101">
        <v>0.43785184280133971</v>
      </c>
      <c r="F51" s="101">
        <v>0.3210913513876491</v>
      </c>
      <c r="G51" s="101">
        <v>0.29989852246667104</v>
      </c>
      <c r="H51" s="101">
        <v>0.12635249602590945</v>
      </c>
    </row>
    <row r="52" spans="1:8" x14ac:dyDescent="0.35">
      <c r="A52" s="71"/>
      <c r="B52" s="102"/>
      <c r="C52" s="100" t="s">
        <v>202</v>
      </c>
      <c r="D52" s="101">
        <v>17.864721226427047</v>
      </c>
      <c r="E52" s="101">
        <v>0.22330901533033809</v>
      </c>
      <c r="F52" s="101">
        <v>0.16375994457558124</v>
      </c>
      <c r="G52" s="101">
        <v>0.15295138036324529</v>
      </c>
      <c r="H52" s="101">
        <v>6.3496643396555821E-2</v>
      </c>
    </row>
    <row r="53" spans="1:8" x14ac:dyDescent="0.35">
      <c r="A53" s="71"/>
      <c r="B53" s="102"/>
      <c r="C53" s="100" t="s">
        <v>203</v>
      </c>
      <c r="D53" s="101">
        <v>11.824236916308696</v>
      </c>
      <c r="E53" s="101">
        <v>0.14780296145385868</v>
      </c>
      <c r="F53" s="101">
        <v>0.10838883839949637</v>
      </c>
      <c r="G53" s="101">
        <v>0.10123490510538265</v>
      </c>
      <c r="H53" s="101">
        <v>4.0555663378161119E-2</v>
      </c>
    </row>
    <row r="54" spans="1:8" x14ac:dyDescent="0.35">
      <c r="A54" s="71"/>
      <c r="B54" s="102"/>
      <c r="C54" s="100" t="s">
        <v>204</v>
      </c>
      <c r="D54" s="101">
        <v>2.7244656434852517</v>
      </c>
      <c r="E54" s="101">
        <v>3.4055820543565644E-2</v>
      </c>
      <c r="F54" s="101">
        <v>2.4974268398614809E-2</v>
      </c>
      <c r="G54" s="101">
        <v>2.3325904481894276E-2</v>
      </c>
      <c r="H54" s="101">
        <v>8.61262408443428E-3</v>
      </c>
    </row>
    <row r="55" spans="1:8" x14ac:dyDescent="0.35">
      <c r="A55" s="71"/>
      <c r="B55" s="102"/>
      <c r="C55" s="100" t="s">
        <v>205</v>
      </c>
      <c r="D55" s="101">
        <v>0.16416360515294962</v>
      </c>
      <c r="E55" s="101">
        <v>2.0520450644118701E-3</v>
      </c>
      <c r="F55" s="101">
        <v>1.5048330472353716E-3</v>
      </c>
      <c r="G55" s="101">
        <v>1.4055103180903221E-3</v>
      </c>
      <c r="H55" s="101">
        <v>5.1351487246970604E-4</v>
      </c>
    </row>
    <row r="56" spans="1:8" x14ac:dyDescent="0.35">
      <c r="A56" s="71"/>
      <c r="B56" s="102"/>
      <c r="C56" s="100" t="s">
        <v>206</v>
      </c>
      <c r="D56" s="101">
        <v>2.7587641191120329E-5</v>
      </c>
      <c r="E56" s="101">
        <v>3.4484551488900412E-7</v>
      </c>
      <c r="F56" s="101">
        <v>2.5288671091860301E-7</v>
      </c>
      <c r="G56" s="101">
        <v>2.3619555814315354E-7</v>
      </c>
      <c r="H56" s="101">
        <v>1.1708188794615772E-7</v>
      </c>
    </row>
    <row r="57" spans="1:8" x14ac:dyDescent="0.35">
      <c r="A57" s="71"/>
      <c r="B57" s="102"/>
      <c r="C57" s="100" t="s">
        <v>207</v>
      </c>
      <c r="D57" s="101">
        <v>3.9191712015815128</v>
      </c>
      <c r="E57" s="101">
        <v>4.8989640019768903E-2</v>
      </c>
      <c r="F57" s="101">
        <v>3.5925736014496938E-2</v>
      </c>
      <c r="G57" s="101">
        <v>3.355454795874558E-2</v>
      </c>
      <c r="H57" s="101">
        <v>1.2960124351206822E-2</v>
      </c>
    </row>
    <row r="58" spans="1:8" x14ac:dyDescent="0.35">
      <c r="A58" s="71" t="s">
        <v>85</v>
      </c>
      <c r="B58" s="102" t="s">
        <v>145</v>
      </c>
      <c r="C58" s="100" t="s">
        <v>40</v>
      </c>
      <c r="D58" s="101">
        <v>35.910441262264534</v>
      </c>
      <c r="E58" s="101">
        <v>0.44888051577830668</v>
      </c>
      <c r="F58" s="101">
        <v>0.32917904490409161</v>
      </c>
      <c r="G58" s="101">
        <v>0.30745240806733332</v>
      </c>
      <c r="H58" s="101">
        <v>0.16647857828675136</v>
      </c>
    </row>
    <row r="59" spans="1:8" x14ac:dyDescent="0.35">
      <c r="A59" s="71"/>
      <c r="B59" s="102"/>
      <c r="C59" s="100" t="s">
        <v>202</v>
      </c>
      <c r="D59" s="101">
        <v>21.976075374672362</v>
      </c>
      <c r="E59" s="101">
        <v>0.27470094218340452</v>
      </c>
      <c r="F59" s="101">
        <v>0.20144735760116331</v>
      </c>
      <c r="G59" s="101">
        <v>0.1881513302626058</v>
      </c>
      <c r="H59" s="101">
        <v>7.9162802964786408E-2</v>
      </c>
    </row>
    <row r="60" spans="1:8" x14ac:dyDescent="0.35">
      <c r="A60" s="71"/>
      <c r="B60" s="102"/>
      <c r="C60" s="100" t="s">
        <v>203</v>
      </c>
      <c r="D60" s="101">
        <v>15.965954604304065</v>
      </c>
      <c r="E60" s="101">
        <v>0.19957443255380081</v>
      </c>
      <c r="F60" s="101">
        <v>0.14635458387278724</v>
      </c>
      <c r="G60" s="101">
        <v>0.13669481681767179</v>
      </c>
      <c r="H60" s="101">
        <v>5.4929618466635119E-2</v>
      </c>
    </row>
    <row r="61" spans="1:8" x14ac:dyDescent="0.35">
      <c r="A61" s="71"/>
      <c r="B61" s="102"/>
      <c r="C61" s="100" t="s">
        <v>204</v>
      </c>
      <c r="D61" s="101">
        <v>4.293424724675833</v>
      </c>
      <c r="E61" s="101">
        <v>5.366780905844791E-2</v>
      </c>
      <c r="F61" s="101">
        <v>3.9356393309528469E-2</v>
      </c>
      <c r="G61" s="101">
        <v>3.6758773327704046E-2</v>
      </c>
      <c r="H61" s="101">
        <v>1.356181898817539E-2</v>
      </c>
    </row>
    <row r="62" spans="1:8" x14ac:dyDescent="0.35">
      <c r="A62" s="71"/>
      <c r="B62" s="102"/>
      <c r="C62" s="100" t="s">
        <v>205</v>
      </c>
      <c r="D62" s="101">
        <v>0.29512408392050293</v>
      </c>
      <c r="E62" s="101">
        <v>3.6890510490062865E-3</v>
      </c>
      <c r="F62" s="101">
        <v>2.7053041026046101E-3</v>
      </c>
      <c r="G62" s="101">
        <v>2.5267472938399226E-3</v>
      </c>
      <c r="H62" s="101">
        <v>9.0728352762486041E-4</v>
      </c>
    </row>
    <row r="63" spans="1:8" x14ac:dyDescent="0.35">
      <c r="A63" s="71"/>
      <c r="B63" s="102"/>
      <c r="C63" s="100" t="s">
        <v>206</v>
      </c>
      <c r="D63" s="101">
        <v>5.9529397298639942E-5</v>
      </c>
      <c r="E63" s="101">
        <v>7.4411746623299932E-7</v>
      </c>
      <c r="F63" s="101">
        <v>5.4568614190419945E-7</v>
      </c>
      <c r="G63" s="101">
        <v>5.0966949741986254E-7</v>
      </c>
      <c r="H63" s="101">
        <v>2.1848836437009147E-7</v>
      </c>
    </row>
    <row r="64" spans="1:8" x14ac:dyDescent="0.35">
      <c r="A64" s="71"/>
      <c r="B64" s="102"/>
      <c r="C64" s="100" t="s">
        <v>207</v>
      </c>
      <c r="D64" s="101">
        <v>5.6832435366244241</v>
      </c>
      <c r="E64" s="101">
        <v>7.1040544207805312E-2</v>
      </c>
      <c r="F64" s="101">
        <v>5.2096399085724318E-2</v>
      </c>
      <c r="G64" s="101">
        <v>4.8657906991648049E-2</v>
      </c>
      <c r="H64" s="101">
        <v>1.8782088415388677E-2</v>
      </c>
    </row>
    <row r="65" spans="1:8" x14ac:dyDescent="0.35">
      <c r="A65" s="71" t="s">
        <v>87</v>
      </c>
      <c r="B65" s="102" t="s">
        <v>146</v>
      </c>
      <c r="C65" s="100" t="s">
        <v>40</v>
      </c>
      <c r="D65" s="101">
        <v>34.289914121316386</v>
      </c>
      <c r="E65" s="101">
        <v>0.42862392651645481</v>
      </c>
      <c r="F65" s="101">
        <v>0.31432421277873351</v>
      </c>
      <c r="G65" s="101">
        <v>0.29357803186058545</v>
      </c>
      <c r="H65" s="101">
        <v>0.13266818581131598</v>
      </c>
    </row>
    <row r="66" spans="1:8" x14ac:dyDescent="0.35">
      <c r="A66" s="71"/>
      <c r="B66" s="102"/>
      <c r="C66" s="100" t="s">
        <v>202</v>
      </c>
      <c r="D66" s="101">
        <v>17.903868516680671</v>
      </c>
      <c r="E66" s="101">
        <v>0.22379835645850837</v>
      </c>
      <c r="F66" s="101">
        <v>0.1641187947362395</v>
      </c>
      <c r="G66" s="101">
        <v>0.15328654551952628</v>
      </c>
      <c r="H66" s="101">
        <v>6.2996785478818193E-2</v>
      </c>
    </row>
    <row r="67" spans="1:8" x14ac:dyDescent="0.35">
      <c r="A67" s="71"/>
      <c r="B67" s="102"/>
      <c r="C67" s="100" t="s">
        <v>203</v>
      </c>
      <c r="D67" s="101">
        <v>11.689135887796535</v>
      </c>
      <c r="E67" s="101">
        <v>0.1461141985974567</v>
      </c>
      <c r="F67" s="101">
        <v>0.10715041230480157</v>
      </c>
      <c r="G67" s="101">
        <v>0.10007821821743609</v>
      </c>
      <c r="H67" s="101">
        <v>3.9949878978434827E-2</v>
      </c>
    </row>
    <row r="68" spans="1:8" x14ac:dyDescent="0.35">
      <c r="A68" s="71"/>
      <c r="B68" s="102"/>
      <c r="C68" s="100" t="s">
        <v>204</v>
      </c>
      <c r="D68" s="101">
        <v>2.6699872264726889</v>
      </c>
      <c r="E68" s="101">
        <v>3.3374840330908609E-2</v>
      </c>
      <c r="F68" s="101">
        <v>2.447488290933298E-2</v>
      </c>
      <c r="G68" s="101">
        <v>2.2859479678704529E-2</v>
      </c>
      <c r="H68" s="101">
        <v>8.4393348704731672E-3</v>
      </c>
    </row>
    <row r="69" spans="1:8" x14ac:dyDescent="0.35">
      <c r="A69" s="71"/>
      <c r="B69" s="102"/>
      <c r="C69" s="100" t="s">
        <v>205</v>
      </c>
      <c r="D69" s="101">
        <v>0.15291758367436686</v>
      </c>
      <c r="E69" s="101">
        <v>1.9114697959295858E-3</v>
      </c>
      <c r="F69" s="101">
        <v>1.4017445170150294E-3</v>
      </c>
      <c r="G69" s="101">
        <v>1.3092258876230038E-3</v>
      </c>
      <c r="H69" s="101">
        <v>4.7550790544425263E-4</v>
      </c>
    </row>
    <row r="70" spans="1:8" x14ac:dyDescent="0.35">
      <c r="A70" s="71"/>
      <c r="B70" s="102"/>
      <c r="C70" s="100" t="s">
        <v>206</v>
      </c>
      <c r="D70" s="101">
        <v>2.9249987281296749E-5</v>
      </c>
      <c r="E70" s="101">
        <v>3.6562484101620935E-7</v>
      </c>
      <c r="F70" s="101">
        <v>2.6812488341188684E-7</v>
      </c>
      <c r="G70" s="101">
        <v>2.5042797329877357E-7</v>
      </c>
      <c r="H70" s="101">
        <v>1.1875342525854869E-7</v>
      </c>
    </row>
    <row r="71" spans="1:8" x14ac:dyDescent="0.35">
      <c r="A71" s="71"/>
      <c r="B71" s="102"/>
      <c r="C71" s="100" t="s">
        <v>207</v>
      </c>
      <c r="D71" s="101">
        <v>3.8583069773113383</v>
      </c>
      <c r="E71" s="101">
        <v>4.8228837216392151E-2</v>
      </c>
      <c r="F71" s="101">
        <v>3.5367813958686919E-2</v>
      </c>
      <c r="G71" s="101">
        <v>3.3033450148213607E-2</v>
      </c>
      <c r="H71" s="101">
        <v>1.2756020213215855E-2</v>
      </c>
    </row>
    <row r="72" spans="1:8" x14ac:dyDescent="0.35">
      <c r="A72" s="71" t="s">
        <v>89</v>
      </c>
      <c r="B72" s="102" t="s">
        <v>147</v>
      </c>
      <c r="C72" s="100" t="s">
        <v>40</v>
      </c>
      <c r="D72" s="101">
        <v>30.631102465736799</v>
      </c>
      <c r="E72" s="101">
        <v>0.38288878082170996</v>
      </c>
      <c r="F72" s="101">
        <v>0.2807851059359206</v>
      </c>
      <c r="G72" s="101">
        <v>0.26225258960391096</v>
      </c>
      <c r="H72" s="101">
        <v>0.11927793752041851</v>
      </c>
    </row>
    <row r="73" spans="1:8" x14ac:dyDescent="0.35">
      <c r="A73" s="71"/>
      <c r="B73" s="102"/>
      <c r="C73" s="100" t="s">
        <v>202</v>
      </c>
      <c r="D73" s="101">
        <v>16.457493523630937</v>
      </c>
      <c r="E73" s="101">
        <v>0.20571866904538672</v>
      </c>
      <c r="F73" s="101">
        <v>0.15086035729995026</v>
      </c>
      <c r="G73" s="101">
        <v>0.14090319797629225</v>
      </c>
      <c r="H73" s="101">
        <v>5.9020919859675128E-2</v>
      </c>
    </row>
    <row r="74" spans="1:8" x14ac:dyDescent="0.35">
      <c r="A74" s="71"/>
      <c r="B74" s="102"/>
      <c r="C74" s="100" t="s">
        <v>203</v>
      </c>
      <c r="D74" s="101">
        <v>11.408760622690284</v>
      </c>
      <c r="E74" s="101">
        <v>0.14260950778362855</v>
      </c>
      <c r="F74" s="101">
        <v>0.10458030570799427</v>
      </c>
      <c r="G74" s="101">
        <v>9.767774505727983E-2</v>
      </c>
      <c r="H74" s="101">
        <v>3.9202496149295267E-2</v>
      </c>
    </row>
    <row r="75" spans="1:8" x14ac:dyDescent="0.35">
      <c r="A75" s="71"/>
      <c r="B75" s="102"/>
      <c r="C75" s="100" t="s">
        <v>204</v>
      </c>
      <c r="D75" s="101">
        <v>3.2585959436151888</v>
      </c>
      <c r="E75" s="101">
        <v>4.0732449295189863E-2</v>
      </c>
      <c r="F75" s="101">
        <v>2.9870462816472564E-2</v>
      </c>
      <c r="G75" s="101">
        <v>2.7898937873417715E-2</v>
      </c>
      <c r="H75" s="101">
        <v>1.0328104639268887E-2</v>
      </c>
    </row>
    <row r="76" spans="1:8" x14ac:dyDescent="0.35">
      <c r="A76" s="71"/>
      <c r="B76" s="102"/>
      <c r="C76" s="100" t="s">
        <v>205</v>
      </c>
      <c r="D76" s="101">
        <v>0.22821945192244636</v>
      </c>
      <c r="E76" s="101">
        <v>2.8527431490305796E-3</v>
      </c>
      <c r="F76" s="101">
        <v>2.0920116426224248E-3</v>
      </c>
      <c r="G76" s="101">
        <v>1.9539336637195751E-3</v>
      </c>
      <c r="H76" s="101">
        <v>7.0262555000330995E-4</v>
      </c>
    </row>
    <row r="77" spans="1:8" x14ac:dyDescent="0.35">
      <c r="A77" s="71"/>
      <c r="B77" s="102"/>
      <c r="C77" s="100" t="s">
        <v>206</v>
      </c>
      <c r="D77" s="101">
        <v>4.8028584412719805E-5</v>
      </c>
      <c r="E77" s="101">
        <v>6.0035730515899754E-7</v>
      </c>
      <c r="F77" s="101">
        <v>4.4026202378326485E-7</v>
      </c>
      <c r="G77" s="101">
        <v>4.1120363367054625E-7</v>
      </c>
      <c r="H77" s="101">
        <v>7.7703369506518403E-8</v>
      </c>
    </row>
    <row r="78" spans="1:8" x14ac:dyDescent="0.35">
      <c r="A78" s="71"/>
      <c r="B78" s="102"/>
      <c r="C78" s="100" t="s">
        <v>207</v>
      </c>
      <c r="D78" s="101">
        <v>4.1798678848114674</v>
      </c>
      <c r="E78" s="101">
        <v>5.2248348560142821E-2</v>
      </c>
      <c r="F78" s="101">
        <v>3.8315455610771904E-2</v>
      </c>
      <c r="G78" s="101">
        <v>3.5786540109687792E-2</v>
      </c>
      <c r="H78" s="101">
        <v>1.3818120914160265E-2</v>
      </c>
    </row>
    <row r="79" spans="1:8" x14ac:dyDescent="0.35">
      <c r="A79" s="71" t="s">
        <v>91</v>
      </c>
      <c r="B79" s="102" t="s">
        <v>148</v>
      </c>
      <c r="C79" s="100" t="s">
        <v>40</v>
      </c>
      <c r="D79" s="101">
        <v>25.335117710020775</v>
      </c>
      <c r="E79" s="101">
        <v>0.3166889713752597</v>
      </c>
      <c r="F79" s="101">
        <v>0.23223857900852379</v>
      </c>
      <c r="G79" s="101">
        <v>0.21691025436661626</v>
      </c>
      <c r="H79" s="101">
        <v>9.8367784127635111E-2</v>
      </c>
    </row>
    <row r="80" spans="1:8" x14ac:dyDescent="0.35">
      <c r="A80" s="71"/>
      <c r="B80" s="102"/>
      <c r="C80" s="100" t="s">
        <v>202</v>
      </c>
      <c r="D80" s="101">
        <v>13.625741661041802</v>
      </c>
      <c r="E80" s="101">
        <v>0.17032177076302252</v>
      </c>
      <c r="F80" s="101">
        <v>0.12490263189288318</v>
      </c>
      <c r="G80" s="101">
        <v>0.11665874709796065</v>
      </c>
      <c r="H80" s="101">
        <v>4.7870064351895399E-2</v>
      </c>
    </row>
    <row r="81" spans="1:8" x14ac:dyDescent="0.35">
      <c r="A81" s="71"/>
      <c r="B81" s="102"/>
      <c r="C81" s="100" t="s">
        <v>203</v>
      </c>
      <c r="D81" s="101">
        <v>8.7775200437435075</v>
      </c>
      <c r="E81" s="101">
        <v>0.10971900054679384</v>
      </c>
      <c r="F81" s="101">
        <v>8.0460600400982157E-2</v>
      </c>
      <c r="G81" s="101">
        <v>7.5150000374516329E-2</v>
      </c>
      <c r="H81" s="101">
        <v>2.9445281044641589E-2</v>
      </c>
    </row>
    <row r="82" spans="1:8" x14ac:dyDescent="0.35">
      <c r="A82" s="71"/>
      <c r="B82" s="102"/>
      <c r="C82" s="100" t="s">
        <v>204</v>
      </c>
      <c r="D82" s="101">
        <v>0.59773253407423266</v>
      </c>
      <c r="E82" s="101">
        <v>7.4716566759279084E-3</v>
      </c>
      <c r="F82" s="101">
        <v>5.479214895680466E-3</v>
      </c>
      <c r="G82" s="101">
        <v>5.1175730657040466E-3</v>
      </c>
      <c r="H82" s="101">
        <v>1.9226111078531963E-3</v>
      </c>
    </row>
    <row r="83" spans="1:8" x14ac:dyDescent="0.35">
      <c r="A83" s="71"/>
      <c r="B83" s="102"/>
      <c r="C83" s="100" t="s">
        <v>205</v>
      </c>
      <c r="D83" s="101">
        <v>4.0956377371416594E-2</v>
      </c>
      <c r="E83" s="101">
        <v>5.1195471714270743E-4</v>
      </c>
      <c r="F83" s="101">
        <v>3.7543345923798547E-4</v>
      </c>
      <c r="G83" s="101">
        <v>3.5065391585116946E-4</v>
      </c>
      <c r="H83" s="101">
        <v>1.2758082980423265E-4</v>
      </c>
    </row>
    <row r="84" spans="1:8" x14ac:dyDescent="0.35">
      <c r="A84" s="71"/>
      <c r="B84" s="102"/>
      <c r="C84" s="100" t="s">
        <v>206</v>
      </c>
      <c r="D84" s="101">
        <v>7.379294950330793E-6</v>
      </c>
      <c r="E84" s="101">
        <v>9.2241186879134912E-8</v>
      </c>
      <c r="F84" s="101">
        <v>6.7643537044698929E-8</v>
      </c>
      <c r="G84" s="101">
        <v>6.3178895122695147E-8</v>
      </c>
      <c r="H84" s="101">
        <v>2.3978814395345233E-8</v>
      </c>
    </row>
    <row r="85" spans="1:8" x14ac:dyDescent="0.35">
      <c r="A85" s="71"/>
      <c r="B85" s="102"/>
      <c r="C85" s="100" t="s">
        <v>207</v>
      </c>
      <c r="D85" s="101">
        <v>1.9648850222293002</v>
      </c>
      <c r="E85" s="101">
        <v>2.4561062777866217E-2</v>
      </c>
      <c r="F85" s="101">
        <v>1.8011446037102242E-2</v>
      </c>
      <c r="G85" s="101">
        <v>1.6822645738264825E-2</v>
      </c>
      <c r="H85" s="101">
        <v>6.4914762192454997E-3</v>
      </c>
    </row>
    <row r="86" spans="1:8" x14ac:dyDescent="0.35">
      <c r="A86" s="71" t="s">
        <v>93</v>
      </c>
      <c r="B86" s="102" t="s">
        <v>215</v>
      </c>
      <c r="C86" s="100" t="s">
        <v>40</v>
      </c>
      <c r="D86" s="101">
        <v>32.165512529400459</v>
      </c>
      <c r="E86" s="101">
        <v>0.40206890661750572</v>
      </c>
      <c r="F86" s="101">
        <v>0.29485053151950419</v>
      </c>
      <c r="G86" s="101">
        <v>0.27538966206678472</v>
      </c>
      <c r="H86" s="101">
        <v>0.12190052982543396</v>
      </c>
    </row>
    <row r="87" spans="1:8" x14ac:dyDescent="0.35">
      <c r="A87" s="71"/>
      <c r="B87" s="102"/>
      <c r="C87" s="100" t="s">
        <v>202</v>
      </c>
      <c r="D87" s="101">
        <v>17.30933714574951</v>
      </c>
      <c r="E87" s="101">
        <v>0.21636671432186888</v>
      </c>
      <c r="F87" s="101">
        <v>0.15866892383603717</v>
      </c>
      <c r="G87" s="101">
        <v>0.14819637967251292</v>
      </c>
      <c r="H87" s="101">
        <v>6.2421010003778171E-2</v>
      </c>
    </row>
    <row r="88" spans="1:8" x14ac:dyDescent="0.35">
      <c r="A88" s="71"/>
      <c r="B88" s="102"/>
      <c r="C88" s="100" t="s">
        <v>203</v>
      </c>
      <c r="D88" s="101">
        <v>12.714611743607406</v>
      </c>
      <c r="E88" s="101">
        <v>0.15893264679509259</v>
      </c>
      <c r="F88" s="101">
        <v>0.11655060764973456</v>
      </c>
      <c r="G88" s="101">
        <v>0.10885797725691272</v>
      </c>
      <c r="H88" s="101">
        <v>4.3831173260208051E-2</v>
      </c>
    </row>
    <row r="89" spans="1:8" x14ac:dyDescent="0.35">
      <c r="A89" s="71"/>
      <c r="B89" s="102"/>
      <c r="C89" s="100" t="s">
        <v>204</v>
      </c>
      <c r="D89" s="101">
        <v>4.0031174553393276</v>
      </c>
      <c r="E89" s="101">
        <v>5.0038968191741598E-2</v>
      </c>
      <c r="F89" s="101">
        <v>3.6695243340610501E-2</v>
      </c>
      <c r="G89" s="101">
        <v>3.4273265884754517E-2</v>
      </c>
      <c r="H89" s="101">
        <v>1.268050561250491E-2</v>
      </c>
    </row>
    <row r="90" spans="1:8" x14ac:dyDescent="0.35">
      <c r="A90" s="71"/>
      <c r="B90" s="102"/>
      <c r="C90" s="100" t="s">
        <v>205</v>
      </c>
      <c r="D90" s="101">
        <v>0.38234844306702059</v>
      </c>
      <c r="E90" s="101">
        <v>4.7793555383377571E-3</v>
      </c>
      <c r="F90" s="101">
        <v>3.5048607281143551E-3</v>
      </c>
      <c r="G90" s="101">
        <v>3.2735311906422994E-3</v>
      </c>
      <c r="H90" s="101">
        <v>1.1852704927320214E-3</v>
      </c>
    </row>
    <row r="91" spans="1:8" x14ac:dyDescent="0.35">
      <c r="A91" s="71"/>
      <c r="B91" s="102"/>
      <c r="C91" s="100" t="s">
        <v>206</v>
      </c>
      <c r="D91" s="101">
        <v>6.7529823539440727E-5</v>
      </c>
      <c r="E91" s="101">
        <v>8.4412279424300908E-7</v>
      </c>
      <c r="F91" s="101">
        <v>6.1902338244487328E-7</v>
      </c>
      <c r="G91" s="101">
        <v>5.7816629742671864E-7</v>
      </c>
      <c r="H91" s="101">
        <v>1.4113653522284554E-7</v>
      </c>
    </row>
    <row r="92" spans="1:8" x14ac:dyDescent="0.35">
      <c r="A92" s="71"/>
      <c r="B92" s="102"/>
      <c r="C92" s="100" t="s">
        <v>207</v>
      </c>
      <c r="D92" s="101">
        <v>4.9230820145130423</v>
      </c>
      <c r="E92" s="101">
        <v>6.1538525181412666E-2</v>
      </c>
      <c r="F92" s="101">
        <v>4.5128251799703624E-2</v>
      </c>
      <c r="G92" s="101">
        <v>4.2149674781789652E-2</v>
      </c>
      <c r="H92" s="101">
        <v>1.6269299689715092E-2</v>
      </c>
    </row>
    <row r="93" spans="1:8" x14ac:dyDescent="0.35">
      <c r="A93" s="71" t="s">
        <v>95</v>
      </c>
      <c r="B93" s="102" t="s">
        <v>216</v>
      </c>
      <c r="C93" s="100" t="s">
        <v>40</v>
      </c>
      <c r="D93" s="101">
        <v>37.335254000880461</v>
      </c>
      <c r="E93" s="101">
        <v>0.46669067501100575</v>
      </c>
      <c r="F93" s="101">
        <v>0.34223982834140426</v>
      </c>
      <c r="G93" s="101">
        <v>0.31965114726781213</v>
      </c>
      <c r="H93" s="101">
        <v>0.16856996626832993</v>
      </c>
    </row>
    <row r="94" spans="1:8" x14ac:dyDescent="0.35">
      <c r="A94" s="71"/>
      <c r="B94" s="102"/>
      <c r="C94" s="100" t="s">
        <v>202</v>
      </c>
      <c r="D94" s="101">
        <v>28.012500763520045</v>
      </c>
      <c r="E94" s="101">
        <v>0.35015625954400054</v>
      </c>
      <c r="F94" s="101">
        <v>0.25678125699893373</v>
      </c>
      <c r="G94" s="101">
        <v>0.23983305448219214</v>
      </c>
      <c r="H94" s="101">
        <v>0.10214550434387404</v>
      </c>
    </row>
    <row r="95" spans="1:8" x14ac:dyDescent="0.35">
      <c r="A95" s="71"/>
      <c r="B95" s="102"/>
      <c r="C95" s="100" t="s">
        <v>203</v>
      </c>
      <c r="D95" s="101">
        <v>21.696906666762931</v>
      </c>
      <c r="E95" s="101">
        <v>0.27121133333453662</v>
      </c>
      <c r="F95" s="101">
        <v>0.19888831111199354</v>
      </c>
      <c r="G95" s="101">
        <v>0.18576118721543602</v>
      </c>
      <c r="H95" s="101">
        <v>7.5465965977728075E-2</v>
      </c>
    </row>
    <row r="96" spans="1:8" x14ac:dyDescent="0.35">
      <c r="A96" s="71"/>
      <c r="B96" s="102"/>
      <c r="C96" s="100" t="s">
        <v>204</v>
      </c>
      <c r="D96" s="101">
        <v>7.7620907067840212</v>
      </c>
      <c r="E96" s="101">
        <v>9.7026133834800271E-2</v>
      </c>
      <c r="F96" s="101">
        <v>7.1152498145520202E-2</v>
      </c>
      <c r="G96" s="101">
        <v>6.6456256051233065E-2</v>
      </c>
      <c r="H96" s="101">
        <v>2.4476936005497066E-2</v>
      </c>
    </row>
    <row r="97" spans="1:8" x14ac:dyDescent="0.35">
      <c r="A97" s="71"/>
      <c r="B97" s="102"/>
      <c r="C97" s="100" t="s">
        <v>205</v>
      </c>
      <c r="D97" s="101">
        <v>0.76827490598758197</v>
      </c>
      <c r="E97" s="101">
        <v>9.6034363248447743E-3</v>
      </c>
      <c r="F97" s="101">
        <v>7.0425199715528344E-3</v>
      </c>
      <c r="G97" s="101">
        <v>6.5776961129073797E-3</v>
      </c>
      <c r="H97" s="101">
        <v>2.3722913454750382E-3</v>
      </c>
    </row>
    <row r="98" spans="1:8" x14ac:dyDescent="0.35">
      <c r="A98" s="71"/>
      <c r="B98" s="102"/>
      <c r="C98" s="100" t="s">
        <v>206</v>
      </c>
      <c r="D98" s="101">
        <v>1.2203228002829729E-4</v>
      </c>
      <c r="E98" s="101">
        <v>1.5254035003537161E-6</v>
      </c>
      <c r="F98" s="101">
        <v>1.1186292335927251E-6</v>
      </c>
      <c r="G98" s="101">
        <v>1.0447969180504906E-6</v>
      </c>
      <c r="H98" s="101">
        <v>2.8155961333988305E-7</v>
      </c>
    </row>
    <row r="99" spans="1:8" x14ac:dyDescent="0.35">
      <c r="A99" s="71"/>
      <c r="B99" s="102"/>
      <c r="C99" s="100" t="s">
        <v>207</v>
      </c>
      <c r="D99" s="101">
        <v>8.9745380531029078</v>
      </c>
      <c r="E99" s="101">
        <v>0.1121817256637842</v>
      </c>
      <c r="F99" s="101">
        <v>8.2266598820110087E-2</v>
      </c>
      <c r="G99" s="101">
        <v>7.6836798399853204E-2</v>
      </c>
      <c r="H99" s="101">
        <v>2.9662809081384141E-2</v>
      </c>
    </row>
    <row r="100" spans="1:8" x14ac:dyDescent="0.35">
      <c r="A100" s="71" t="s">
        <v>97</v>
      </c>
      <c r="B100" s="102" t="s">
        <v>217</v>
      </c>
      <c r="C100" s="100" t="s">
        <v>40</v>
      </c>
      <c r="D100" s="101">
        <v>34.341745776572253</v>
      </c>
      <c r="E100" s="101">
        <v>0.42927182220715315</v>
      </c>
      <c r="F100" s="101">
        <v>0.31479933628524565</v>
      </c>
      <c r="G100" s="101">
        <v>0.29402179603229667</v>
      </c>
      <c r="H100" s="101">
        <v>0.12649024990944266</v>
      </c>
    </row>
    <row r="101" spans="1:8" x14ac:dyDescent="0.35">
      <c r="A101" s="71"/>
      <c r="B101" s="102"/>
      <c r="C101" s="100" t="s">
        <v>202</v>
      </c>
      <c r="D101" s="101">
        <v>17.987349153713534</v>
      </c>
      <c r="E101" s="101">
        <v>0.22484186442141918</v>
      </c>
      <c r="F101" s="101">
        <v>0.16488403390904072</v>
      </c>
      <c r="G101" s="101">
        <v>0.12959943129815157</v>
      </c>
      <c r="H101" s="101">
        <v>5.261307634732821E-2</v>
      </c>
    </row>
    <row r="102" spans="1:8" x14ac:dyDescent="0.35">
      <c r="A102" s="71"/>
      <c r="B102" s="102"/>
      <c r="C102" s="100" t="s">
        <v>203</v>
      </c>
      <c r="D102" s="101">
        <v>10.920903611127555</v>
      </c>
      <c r="E102" s="101">
        <v>0.13651129513909444</v>
      </c>
      <c r="F102" s="101">
        <v>0.10010828310200258</v>
      </c>
      <c r="G102" s="101">
        <v>7.6707405144144356E-2</v>
      </c>
      <c r="H102" s="101">
        <v>2.9700976900422161E-2</v>
      </c>
    </row>
    <row r="103" spans="1:8" x14ac:dyDescent="0.35">
      <c r="A103" s="71"/>
      <c r="B103" s="102"/>
      <c r="C103" s="100" t="s">
        <v>204</v>
      </c>
      <c r="D103" s="101">
        <v>1.9389333360515626</v>
      </c>
      <c r="E103" s="101">
        <v>2.4236666700644532E-2</v>
      </c>
      <c r="F103" s="101">
        <v>1.7773555580472659E-2</v>
      </c>
      <c r="G103" s="101">
        <v>1.3393255007610896E-2</v>
      </c>
      <c r="H103" s="101">
        <v>5.0208348265947588E-3</v>
      </c>
    </row>
    <row r="104" spans="1:8" x14ac:dyDescent="0.35">
      <c r="A104" s="71"/>
      <c r="B104" s="102"/>
      <c r="C104" s="100" t="s">
        <v>205</v>
      </c>
      <c r="D104" s="101">
        <v>0.18781320487981978</v>
      </c>
      <c r="E104" s="101">
        <v>2.3476650609977473E-3</v>
      </c>
      <c r="F104" s="101">
        <v>1.7216210447316813E-3</v>
      </c>
      <c r="G104" s="101">
        <v>1.287840780951835E-3</v>
      </c>
      <c r="H104" s="101">
        <v>4.6497575016629254E-4</v>
      </c>
    </row>
    <row r="105" spans="1:8" x14ac:dyDescent="0.35">
      <c r="A105" s="71"/>
      <c r="B105" s="102"/>
      <c r="C105" s="100" t="s">
        <v>206</v>
      </c>
      <c r="D105" s="101">
        <v>2.4406456005659458E-5</v>
      </c>
      <c r="E105" s="101">
        <v>3.0508070007074321E-7</v>
      </c>
      <c r="F105" s="101">
        <v>2.2372584671854501E-7</v>
      </c>
      <c r="G105" s="101">
        <v>1.6716750688807848E-7</v>
      </c>
      <c r="H105" s="101">
        <v>5.6311922667976611E-8</v>
      </c>
    </row>
    <row r="106" spans="1:8" x14ac:dyDescent="0.35">
      <c r="A106" s="71"/>
      <c r="B106" s="102"/>
      <c r="C106" s="100" t="s">
        <v>207</v>
      </c>
      <c r="D106" s="101">
        <v>3.0811330027363542</v>
      </c>
      <c r="E106" s="101">
        <v>3.8514162534204338E-2</v>
      </c>
      <c r="F106" s="101">
        <v>2.8243719191749408E-2</v>
      </c>
      <c r="G106" s="101">
        <v>2.1681518888773184E-2</v>
      </c>
      <c r="H106" s="101">
        <v>8.3735720976272233E-3</v>
      </c>
    </row>
    <row r="107" spans="1:8" x14ac:dyDescent="0.35">
      <c r="A107" s="71" t="s">
        <v>99</v>
      </c>
      <c r="B107" s="102" t="s">
        <v>151</v>
      </c>
      <c r="C107" s="100" t="s">
        <v>40</v>
      </c>
      <c r="D107" s="101">
        <v>1.7224957623399937</v>
      </c>
      <c r="E107" s="101">
        <v>2.153119702924992E-2</v>
      </c>
      <c r="F107" s="101">
        <v>1.5789544488116609E-2</v>
      </c>
      <c r="G107" s="101">
        <v>1.4747395225513642E-2</v>
      </c>
      <c r="H107" s="101">
        <v>7.0361230431487806E-3</v>
      </c>
    </row>
    <row r="108" spans="1:8" x14ac:dyDescent="0.35">
      <c r="A108" s="71"/>
      <c r="B108" s="102"/>
      <c r="C108" s="100" t="s">
        <v>202</v>
      </c>
      <c r="D108" s="101">
        <v>0.95389150756371299</v>
      </c>
      <c r="E108" s="101">
        <v>1.1923643844546413E-2</v>
      </c>
      <c r="F108" s="101">
        <v>8.7440054860007041E-3</v>
      </c>
      <c r="G108" s="101">
        <v>8.1668793455797351E-3</v>
      </c>
      <c r="H108" s="101">
        <v>3.4148239053787824E-3</v>
      </c>
    </row>
    <row r="109" spans="1:8" x14ac:dyDescent="0.35">
      <c r="A109" s="71"/>
      <c r="B109" s="102"/>
      <c r="C109" s="100" t="s">
        <v>203</v>
      </c>
      <c r="D109" s="101">
        <v>0.6768703060797826</v>
      </c>
      <c r="E109" s="101">
        <v>8.4608788259972825E-3</v>
      </c>
      <c r="F109" s="101">
        <v>6.2046444723980075E-3</v>
      </c>
      <c r="G109" s="101">
        <v>5.7951224835597823E-3</v>
      </c>
      <c r="H109" s="101">
        <v>2.3359250472387975E-3</v>
      </c>
    </row>
    <row r="110" spans="1:8" x14ac:dyDescent="0.35">
      <c r="A110" s="71"/>
      <c r="B110" s="102"/>
      <c r="C110" s="100" t="s">
        <v>204</v>
      </c>
      <c r="D110" s="101">
        <v>0.20579623323063498</v>
      </c>
      <c r="E110" s="101">
        <v>2.5724529153829372E-3</v>
      </c>
      <c r="F110" s="101">
        <v>1.8864654712808205E-3</v>
      </c>
      <c r="G110" s="101">
        <v>1.7619540516321487E-3</v>
      </c>
      <c r="H110" s="101">
        <v>6.5267961006716842E-4</v>
      </c>
    </row>
    <row r="111" spans="1:8" x14ac:dyDescent="0.35">
      <c r="A111" s="71"/>
      <c r="B111" s="102"/>
      <c r="C111" s="100" t="s">
        <v>205</v>
      </c>
      <c r="D111" s="101">
        <v>1.9562245350548457E-2</v>
      </c>
      <c r="E111" s="101">
        <v>2.4452806688185573E-4</v>
      </c>
      <c r="F111" s="101">
        <v>1.7932058238002754E-4</v>
      </c>
      <c r="G111" s="101">
        <v>1.6748497731633954E-4</v>
      </c>
      <c r="H111" s="101">
        <v>6.069205867454866E-5</v>
      </c>
    </row>
    <row r="112" spans="1:8" x14ac:dyDescent="0.35">
      <c r="A112" s="71"/>
      <c r="B112" s="102"/>
      <c r="C112" s="100" t="s">
        <v>206</v>
      </c>
      <c r="D112" s="101">
        <v>2.744650027014676E-6</v>
      </c>
      <c r="E112" s="101">
        <v>3.4308125337683451E-8</v>
      </c>
      <c r="F112" s="101">
        <v>2.5159291914301198E-8</v>
      </c>
      <c r="G112" s="101">
        <v>2.3498715984714695E-8</v>
      </c>
      <c r="H112" s="101">
        <v>8.7911376371672664E-9</v>
      </c>
    </row>
    <row r="113" spans="1:8" x14ac:dyDescent="0.35">
      <c r="A113" s="71"/>
      <c r="B113" s="102"/>
      <c r="C113" s="100" t="s">
        <v>207</v>
      </c>
      <c r="D113" s="101">
        <v>0.25801278056680532</v>
      </c>
      <c r="E113" s="101">
        <v>3.2251597570850648E-3</v>
      </c>
      <c r="F113" s="101">
        <v>2.3651171551957078E-3</v>
      </c>
      <c r="G113" s="101">
        <v>2.2090135322500497E-3</v>
      </c>
      <c r="H113" s="101">
        <v>8.5242543850374826E-4</v>
      </c>
    </row>
    <row r="114" spans="1:8" x14ac:dyDescent="0.35">
      <c r="A114" s="71" t="s">
        <v>101</v>
      </c>
      <c r="B114" s="102" t="s">
        <v>218</v>
      </c>
      <c r="C114" s="100" t="s">
        <v>40</v>
      </c>
      <c r="D114" s="101">
        <v>35.324090441796933</v>
      </c>
      <c r="E114" s="101">
        <v>0.44155113052246164</v>
      </c>
      <c r="F114" s="101">
        <v>0.32380416238313858</v>
      </c>
      <c r="G114" s="101">
        <v>0.30243228117976823</v>
      </c>
      <c r="H114" s="101">
        <v>0.14202885942437091</v>
      </c>
    </row>
    <row r="115" spans="1:8" x14ac:dyDescent="0.35">
      <c r="A115" s="71"/>
      <c r="B115" s="102"/>
      <c r="C115" s="100" t="s">
        <v>202</v>
      </c>
      <c r="D115" s="101">
        <v>20.262470449386395</v>
      </c>
      <c r="E115" s="101">
        <v>0.25328088061732995</v>
      </c>
      <c r="F115" s="101">
        <v>0.18573931245270861</v>
      </c>
      <c r="G115" s="101">
        <v>0.1734800552173493</v>
      </c>
      <c r="H115" s="101">
        <v>7.2226649136079707E-2</v>
      </c>
    </row>
    <row r="116" spans="1:8" x14ac:dyDescent="0.35">
      <c r="A116" s="71"/>
      <c r="B116" s="102"/>
      <c r="C116" s="100" t="s">
        <v>203</v>
      </c>
      <c r="D116" s="101">
        <v>13.868467561055432</v>
      </c>
      <c r="E116" s="101">
        <v>0.17335584451319291</v>
      </c>
      <c r="F116" s="101">
        <v>0.12712761930967481</v>
      </c>
      <c r="G116" s="101">
        <v>0.11873687980355679</v>
      </c>
      <c r="H116" s="101">
        <v>4.7212499690719723E-2</v>
      </c>
    </row>
    <row r="117" spans="1:8" x14ac:dyDescent="0.35">
      <c r="A117" s="71"/>
      <c r="B117" s="102"/>
      <c r="C117" s="100" t="s">
        <v>204</v>
      </c>
      <c r="D117" s="101">
        <v>3.0678789559241944</v>
      </c>
      <c r="E117" s="101">
        <v>3.8348486949052428E-2</v>
      </c>
      <c r="F117" s="101">
        <v>2.8122223762638447E-2</v>
      </c>
      <c r="G117" s="101">
        <v>2.6266086951405771E-2</v>
      </c>
      <c r="H117" s="101">
        <v>9.7509952306087961E-3</v>
      </c>
    </row>
    <row r="118" spans="1:8" x14ac:dyDescent="0.35">
      <c r="A118" s="71"/>
      <c r="B118" s="102"/>
      <c r="C118" s="100" t="s">
        <v>205</v>
      </c>
      <c r="D118" s="101">
        <v>0.16838143257482202</v>
      </c>
      <c r="E118" s="101">
        <v>2.1047679071852753E-3</v>
      </c>
      <c r="F118" s="101">
        <v>1.543496465269202E-3</v>
      </c>
      <c r="G118" s="101">
        <v>1.4416218542364898E-3</v>
      </c>
      <c r="H118" s="101">
        <v>5.2113902416786129E-4</v>
      </c>
    </row>
    <row r="119" spans="1:8" x14ac:dyDescent="0.35">
      <c r="A119" s="71"/>
      <c r="B119" s="102"/>
      <c r="C119" s="100" t="s">
        <v>206</v>
      </c>
      <c r="D119" s="101">
        <v>6.2131965398438794E-5</v>
      </c>
      <c r="E119" s="101">
        <v>7.7664956748048497E-7</v>
      </c>
      <c r="F119" s="101">
        <v>5.6954301615235559E-7</v>
      </c>
      <c r="G119" s="101">
        <v>5.3195175854827741E-7</v>
      </c>
      <c r="H119" s="101">
        <v>1.9057049861042927E-7</v>
      </c>
    </row>
    <row r="120" spans="1:8" x14ac:dyDescent="0.35">
      <c r="A120" s="71"/>
      <c r="B120" s="102"/>
      <c r="C120" s="100" t="s">
        <v>207</v>
      </c>
      <c r="D120" s="101">
        <v>4.527939329539862</v>
      </c>
      <c r="E120" s="101">
        <v>5.6599241619247329E-2</v>
      </c>
      <c r="F120" s="101">
        <v>4.1506110520782138E-2</v>
      </c>
      <c r="G120" s="101">
        <v>3.8766603848799625E-2</v>
      </c>
      <c r="H120" s="101">
        <v>1.4960618116634941E-2</v>
      </c>
    </row>
  </sheetData>
  <sheetProtection sheet="1" objects="1" scenarios="1" formatCells="0" formatColumns="0" formatRows="0" sort="0" autoFilter="0"/>
  <autoFilter ref="A1:H120" xr:uid="{2B8B020E-9A98-4EFA-B58F-E48F9FA82AE7}">
    <filterColumn colId="0" showButton="0"/>
  </autoFilter>
  <mergeCells count="21">
    <mergeCell ref="D6:H6"/>
    <mergeCell ref="B9:B15"/>
    <mergeCell ref="B51:B57"/>
    <mergeCell ref="A1:B1"/>
    <mergeCell ref="A6:A8"/>
    <mergeCell ref="B6:B8"/>
    <mergeCell ref="C6:C8"/>
    <mergeCell ref="B16:B22"/>
    <mergeCell ref="B23:B29"/>
    <mergeCell ref="B30:B36"/>
    <mergeCell ref="B37:B43"/>
    <mergeCell ref="B44:B50"/>
    <mergeCell ref="B100:B106"/>
    <mergeCell ref="B107:B113"/>
    <mergeCell ref="B114:B120"/>
    <mergeCell ref="B58:B64"/>
    <mergeCell ref="B65:B71"/>
    <mergeCell ref="B72:B78"/>
    <mergeCell ref="B79:B85"/>
    <mergeCell ref="B86:B92"/>
    <mergeCell ref="B93:B99"/>
  </mergeCells>
  <conditionalFormatting sqref="D9:H120">
    <cfRule type="cellIs" dxfId="6" priority="1" operator="greaterThanOrEqual">
      <formula>10000</formula>
    </cfRule>
    <cfRule type="cellIs" dxfId="5" priority="2" operator="greaterThanOrEqual">
      <formula>10</formula>
    </cfRule>
    <cfRule type="cellIs" dxfId="4" priority="3" operator="between">
      <formula>1</formula>
      <formula>9.999</formula>
    </cfRule>
    <cfRule type="cellIs" dxfId="3" priority="4" operator="between">
      <formula>0.1</formula>
      <formula>0.999</formula>
    </cfRule>
    <cfRule type="cellIs" dxfId="2" priority="5" operator="lessThanOrEqual">
      <formula>0.1</formula>
    </cfRule>
    <cfRule type="containsBlanks" dxfId="1" priority="6" stopIfTrue="1">
      <formula>LEN(TRIM(D9))=0</formula>
    </cfRule>
    <cfRule type="cellIs" dxfId="0" priority="7" operator="equal">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2A9D1-3BAF-4C41-83A0-9D057E64E68E}">
  <sheetPr codeName="Sheet8"/>
  <dimension ref="A1:C7"/>
  <sheetViews>
    <sheetView workbookViewId="0"/>
  </sheetViews>
  <sheetFormatPr defaultRowHeight="14.5" x14ac:dyDescent="0.35"/>
  <cols>
    <col min="1" max="1" width="16.81640625" style="2" bestFit="1" customWidth="1"/>
    <col min="2" max="2" width="20.26953125" style="2" bestFit="1" customWidth="1"/>
    <col min="3" max="3" width="21.7265625" style="2" customWidth="1"/>
    <col min="4" max="16384" width="8.7265625" style="2"/>
  </cols>
  <sheetData>
    <row r="1" spans="1:3" x14ac:dyDescent="0.35">
      <c r="A1" s="103" t="s">
        <v>219</v>
      </c>
      <c r="B1" s="104" t="s">
        <v>31</v>
      </c>
      <c r="C1" s="105" t="s">
        <v>220</v>
      </c>
    </row>
    <row r="2" spans="1:3" x14ac:dyDescent="0.35">
      <c r="A2" s="106" t="s">
        <v>221</v>
      </c>
      <c r="B2" s="71" t="s">
        <v>222</v>
      </c>
      <c r="C2" s="107" t="s">
        <v>223</v>
      </c>
    </row>
    <row r="3" spans="1:3" x14ac:dyDescent="0.35">
      <c r="A3" s="106" t="s">
        <v>224</v>
      </c>
      <c r="B3" s="71" t="s">
        <v>225</v>
      </c>
      <c r="C3" s="107" t="s">
        <v>223</v>
      </c>
    </row>
    <row r="4" spans="1:3" x14ac:dyDescent="0.35">
      <c r="A4" s="106" t="s">
        <v>226</v>
      </c>
      <c r="B4" s="71" t="s">
        <v>227</v>
      </c>
      <c r="C4" s="107" t="s">
        <v>223</v>
      </c>
    </row>
    <row r="5" spans="1:3" x14ac:dyDescent="0.35">
      <c r="A5" s="106" t="s">
        <v>228</v>
      </c>
      <c r="B5" s="71" t="s">
        <v>229</v>
      </c>
      <c r="C5" s="107" t="s">
        <v>223</v>
      </c>
    </row>
    <row r="6" spans="1:3" x14ac:dyDescent="0.35">
      <c r="A6" s="106" t="s">
        <v>230</v>
      </c>
      <c r="B6" s="71" t="s">
        <v>231</v>
      </c>
      <c r="C6" s="107" t="s">
        <v>223</v>
      </c>
    </row>
    <row r="7" spans="1:3" ht="15" thickBot="1" x14ac:dyDescent="0.4">
      <c r="A7" s="108" t="s">
        <v>232</v>
      </c>
      <c r="B7" s="109" t="s">
        <v>233</v>
      </c>
      <c r="C7" s="110" t="s">
        <v>223</v>
      </c>
    </row>
  </sheetData>
  <sheetProtection sheet="1" objects="1" scenarios="1" formatCells="0" formatColumns="0" formatRows="0" sort="0" autoFilter="0"/>
  <autoFilter ref="A1:C7" xr:uid="{18C2A9D1-3BAF-4C41-83A0-9D057E64E68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DD607-246C-47C3-950B-AFC36124FCF0}">
  <sheetPr codeName="Sheet9"/>
  <dimension ref="A1:H252"/>
  <sheetViews>
    <sheetView zoomScaleNormal="100" workbookViewId="0">
      <selection sqref="A1:A2"/>
    </sheetView>
  </sheetViews>
  <sheetFormatPr defaultRowHeight="14.5" x14ac:dyDescent="0.35"/>
  <cols>
    <col min="1" max="1" width="36.453125" style="2" bestFit="1" customWidth="1"/>
    <col min="2" max="2" width="58.1796875" style="2" customWidth="1"/>
    <col min="3" max="3" width="40.81640625" style="4" hidden="1" customWidth="1"/>
    <col min="4" max="4" width="59.54296875" style="4" hidden="1" customWidth="1"/>
    <col min="5" max="5" width="19.453125" style="4" bestFit="1" customWidth="1"/>
    <col min="6" max="6" width="23" style="4" customWidth="1"/>
    <col min="7" max="7" width="38.1796875" style="132" customWidth="1"/>
    <col min="8" max="16384" width="8.7265625" style="2"/>
  </cols>
  <sheetData>
    <row r="1" spans="1:7" x14ac:dyDescent="0.35">
      <c r="A1" s="24" t="s">
        <v>234</v>
      </c>
      <c r="B1" s="24" t="s">
        <v>168</v>
      </c>
      <c r="C1" s="111" t="s">
        <v>235</v>
      </c>
      <c r="D1" s="111" t="s">
        <v>236</v>
      </c>
      <c r="E1" s="111" t="s">
        <v>237</v>
      </c>
      <c r="F1" s="111"/>
      <c r="G1" s="112" t="s">
        <v>238</v>
      </c>
    </row>
    <row r="2" spans="1:7" x14ac:dyDescent="0.35">
      <c r="A2" s="24"/>
      <c r="B2" s="24"/>
      <c r="C2" s="111"/>
      <c r="D2" s="111"/>
      <c r="E2" s="113" t="s">
        <v>239</v>
      </c>
      <c r="F2" s="113" t="s">
        <v>240</v>
      </c>
      <c r="G2" s="112"/>
    </row>
    <row r="3" spans="1:7" x14ac:dyDescent="0.35">
      <c r="B3" s="71" t="s">
        <v>241</v>
      </c>
      <c r="C3" s="114" t="s">
        <v>242</v>
      </c>
      <c r="D3" s="114"/>
      <c r="E3" s="115" t="s">
        <v>243</v>
      </c>
      <c r="F3" s="116" t="s">
        <v>244</v>
      </c>
      <c r="G3" s="117" t="s">
        <v>245</v>
      </c>
    </row>
    <row r="4" spans="1:7" x14ac:dyDescent="0.35">
      <c r="B4" s="71" t="s">
        <v>246</v>
      </c>
      <c r="C4" s="114" t="s">
        <v>247</v>
      </c>
      <c r="D4" s="114"/>
      <c r="E4" s="118" t="s">
        <v>248</v>
      </c>
      <c r="F4" s="116" t="s">
        <v>244</v>
      </c>
      <c r="G4" s="117" t="s">
        <v>68</v>
      </c>
    </row>
    <row r="5" spans="1:7" x14ac:dyDescent="0.35">
      <c r="B5" s="71" t="s">
        <v>210</v>
      </c>
      <c r="C5" s="114"/>
      <c r="D5" s="114"/>
      <c r="E5" s="115">
        <v>1</v>
      </c>
      <c r="F5" s="116"/>
      <c r="G5" s="117" t="s">
        <v>249</v>
      </c>
    </row>
    <row r="6" spans="1:7" x14ac:dyDescent="0.35">
      <c r="B6" s="71" t="s">
        <v>250</v>
      </c>
      <c r="C6" s="114"/>
      <c r="D6" s="114"/>
      <c r="E6" s="115">
        <v>1</v>
      </c>
      <c r="F6" s="116"/>
      <c r="G6" s="117" t="s">
        <v>249</v>
      </c>
    </row>
    <row r="7" spans="1:7" x14ac:dyDescent="0.35">
      <c r="B7" s="71" t="s">
        <v>251</v>
      </c>
      <c r="C7" s="114"/>
      <c r="D7" s="114"/>
      <c r="E7" s="115">
        <v>1</v>
      </c>
      <c r="F7" s="116"/>
      <c r="G7" s="117" t="s">
        <v>249</v>
      </c>
    </row>
    <row r="8" spans="1:7" x14ac:dyDescent="0.35">
      <c r="B8" s="71" t="s">
        <v>252</v>
      </c>
      <c r="C8" s="114"/>
      <c r="D8" s="114"/>
      <c r="E8" s="118"/>
      <c r="F8" s="116"/>
      <c r="G8" s="117" t="s">
        <v>253</v>
      </c>
    </row>
    <row r="9" spans="1:7" x14ac:dyDescent="0.35">
      <c r="B9" s="71" t="s">
        <v>218</v>
      </c>
      <c r="C9" s="114"/>
      <c r="D9" s="114"/>
      <c r="E9" s="118" t="s">
        <v>254</v>
      </c>
      <c r="F9" s="116"/>
      <c r="G9" s="117" t="s">
        <v>103</v>
      </c>
    </row>
    <row r="10" spans="1:7" x14ac:dyDescent="0.35">
      <c r="A10" s="71" t="s">
        <v>255</v>
      </c>
      <c r="B10" s="71" t="s">
        <v>144</v>
      </c>
      <c r="C10" s="114" t="s">
        <v>256</v>
      </c>
      <c r="D10" s="114" t="s">
        <v>257</v>
      </c>
      <c r="E10" s="119" t="s">
        <v>258</v>
      </c>
      <c r="F10" s="116" t="s">
        <v>244</v>
      </c>
      <c r="G10" s="117"/>
    </row>
    <row r="11" spans="1:7" x14ac:dyDescent="0.35">
      <c r="A11" s="71" t="s">
        <v>259</v>
      </c>
      <c r="B11" s="71" t="s">
        <v>144</v>
      </c>
      <c r="C11" s="114" t="s">
        <v>256</v>
      </c>
      <c r="D11" s="114" t="s">
        <v>260</v>
      </c>
      <c r="E11" s="119" t="s">
        <v>261</v>
      </c>
      <c r="F11" s="116" t="s">
        <v>244</v>
      </c>
      <c r="G11" s="117"/>
    </row>
    <row r="12" spans="1:7" x14ac:dyDescent="0.35">
      <c r="A12" s="71" t="s">
        <v>259</v>
      </c>
      <c r="B12" s="71" t="s">
        <v>144</v>
      </c>
      <c r="C12" s="114" t="s">
        <v>256</v>
      </c>
      <c r="D12" s="114" t="s">
        <v>262</v>
      </c>
      <c r="E12" s="119" t="s">
        <v>263</v>
      </c>
      <c r="F12" s="116" t="s">
        <v>244</v>
      </c>
      <c r="G12" s="117"/>
    </row>
    <row r="13" spans="1:7" x14ac:dyDescent="0.35">
      <c r="A13" s="71" t="s">
        <v>264</v>
      </c>
      <c r="B13" s="71" t="s">
        <v>144</v>
      </c>
      <c r="C13" s="114" t="s">
        <v>256</v>
      </c>
      <c r="D13" s="114" t="s">
        <v>265</v>
      </c>
      <c r="E13" s="119" t="s">
        <v>266</v>
      </c>
      <c r="F13" s="116" t="s">
        <v>244</v>
      </c>
      <c r="G13" s="117"/>
    </row>
    <row r="14" spans="1:7" x14ac:dyDescent="0.35">
      <c r="A14" s="71" t="s">
        <v>259</v>
      </c>
      <c r="B14" s="71" t="s">
        <v>144</v>
      </c>
      <c r="C14" s="114" t="s">
        <v>267</v>
      </c>
      <c r="D14" s="114" t="s">
        <v>268</v>
      </c>
      <c r="E14" s="119" t="s">
        <v>269</v>
      </c>
      <c r="F14" s="116" t="s">
        <v>244</v>
      </c>
      <c r="G14" s="117"/>
    </row>
    <row r="15" spans="1:7" x14ac:dyDescent="0.35">
      <c r="A15" s="71" t="s">
        <v>255</v>
      </c>
      <c r="B15" s="71" t="s">
        <v>144</v>
      </c>
      <c r="C15" s="114" t="s">
        <v>270</v>
      </c>
      <c r="D15" s="114" t="s">
        <v>271</v>
      </c>
      <c r="E15" s="119" t="s">
        <v>272</v>
      </c>
      <c r="F15" s="116" t="s">
        <v>244</v>
      </c>
      <c r="G15" s="117"/>
    </row>
    <row r="16" spans="1:7" x14ac:dyDescent="0.35">
      <c r="A16" s="71" t="s">
        <v>273</v>
      </c>
      <c r="B16" s="71" t="s">
        <v>144</v>
      </c>
      <c r="C16" s="114" t="s">
        <v>270</v>
      </c>
      <c r="D16" s="114" t="s">
        <v>274</v>
      </c>
      <c r="E16" s="119" t="s">
        <v>269</v>
      </c>
      <c r="F16" s="116" t="s">
        <v>244</v>
      </c>
      <c r="G16" s="117"/>
    </row>
    <row r="17" spans="1:7" x14ac:dyDescent="0.35">
      <c r="A17" s="71" t="s">
        <v>273</v>
      </c>
      <c r="B17" s="71" t="s">
        <v>144</v>
      </c>
      <c r="C17" s="114" t="s">
        <v>270</v>
      </c>
      <c r="D17" s="114" t="s">
        <v>275</v>
      </c>
      <c r="E17" s="119" t="s">
        <v>276</v>
      </c>
      <c r="F17" s="116" t="s">
        <v>244</v>
      </c>
      <c r="G17" s="117"/>
    </row>
    <row r="18" spans="1:7" x14ac:dyDescent="0.35">
      <c r="A18" s="71" t="s">
        <v>255</v>
      </c>
      <c r="B18" s="71" t="s">
        <v>144</v>
      </c>
      <c r="C18" s="114" t="s">
        <v>270</v>
      </c>
      <c r="D18" s="114" t="s">
        <v>277</v>
      </c>
      <c r="E18" s="119" t="s">
        <v>278</v>
      </c>
      <c r="F18" s="116" t="s">
        <v>244</v>
      </c>
      <c r="G18" s="117"/>
    </row>
    <row r="19" spans="1:7" x14ac:dyDescent="0.35">
      <c r="A19" s="71" t="s">
        <v>273</v>
      </c>
      <c r="B19" s="71" t="s">
        <v>144</v>
      </c>
      <c r="C19" s="114" t="s">
        <v>270</v>
      </c>
      <c r="D19" s="114" t="s">
        <v>279</v>
      </c>
      <c r="E19" s="119" t="s">
        <v>269</v>
      </c>
      <c r="F19" s="116" t="s">
        <v>244</v>
      </c>
      <c r="G19" s="117"/>
    </row>
    <row r="20" spans="1:7" x14ac:dyDescent="0.35">
      <c r="A20" s="71" t="s">
        <v>259</v>
      </c>
      <c r="B20" s="71" t="s">
        <v>144</v>
      </c>
      <c r="C20" s="114" t="s">
        <v>270</v>
      </c>
      <c r="D20" s="114" t="s">
        <v>280</v>
      </c>
      <c r="E20" s="119" t="s">
        <v>281</v>
      </c>
      <c r="F20" s="116" t="s">
        <v>244</v>
      </c>
      <c r="G20" s="117"/>
    </row>
    <row r="21" spans="1:7" x14ac:dyDescent="0.35">
      <c r="A21" s="71" t="s">
        <v>259</v>
      </c>
      <c r="B21" s="71" t="s">
        <v>144</v>
      </c>
      <c r="C21" s="114" t="s">
        <v>270</v>
      </c>
      <c r="D21" s="114" t="s">
        <v>282</v>
      </c>
      <c r="E21" s="119" t="s">
        <v>283</v>
      </c>
      <c r="F21" s="116" t="s">
        <v>244</v>
      </c>
      <c r="G21" s="117"/>
    </row>
    <row r="22" spans="1:7" x14ac:dyDescent="0.35">
      <c r="A22" s="71" t="s">
        <v>273</v>
      </c>
      <c r="B22" s="71" t="s">
        <v>144</v>
      </c>
      <c r="C22" s="114" t="s">
        <v>270</v>
      </c>
      <c r="D22" s="114" t="s">
        <v>284</v>
      </c>
      <c r="E22" s="119" t="s">
        <v>285</v>
      </c>
      <c r="F22" s="116" t="s">
        <v>244</v>
      </c>
      <c r="G22" s="117"/>
    </row>
    <row r="23" spans="1:7" x14ac:dyDescent="0.35">
      <c r="A23" s="71" t="s">
        <v>255</v>
      </c>
      <c r="B23" s="71" t="s">
        <v>144</v>
      </c>
      <c r="C23" s="114" t="s">
        <v>270</v>
      </c>
      <c r="D23" s="114" t="s">
        <v>286</v>
      </c>
      <c r="E23" s="119" t="s">
        <v>276</v>
      </c>
      <c r="F23" s="116" t="s">
        <v>244</v>
      </c>
      <c r="G23" s="117"/>
    </row>
    <row r="24" spans="1:7" x14ac:dyDescent="0.35">
      <c r="A24" s="71" t="s">
        <v>273</v>
      </c>
      <c r="B24" s="71" t="s">
        <v>144</v>
      </c>
      <c r="C24" s="114" t="s">
        <v>270</v>
      </c>
      <c r="D24" s="114" t="s">
        <v>287</v>
      </c>
      <c r="E24" s="119" t="s">
        <v>288</v>
      </c>
      <c r="F24" s="116" t="s">
        <v>244</v>
      </c>
      <c r="G24" s="117"/>
    </row>
    <row r="25" spans="1:7" x14ac:dyDescent="0.35">
      <c r="A25" s="71" t="s">
        <v>273</v>
      </c>
      <c r="B25" s="71" t="s">
        <v>144</v>
      </c>
      <c r="C25" s="114" t="s">
        <v>270</v>
      </c>
      <c r="D25" s="114" t="s">
        <v>289</v>
      </c>
      <c r="E25" s="119" t="s">
        <v>269</v>
      </c>
      <c r="F25" s="116" t="s">
        <v>244</v>
      </c>
      <c r="G25" s="117"/>
    </row>
    <row r="26" spans="1:7" x14ac:dyDescent="0.35">
      <c r="A26" s="71" t="s">
        <v>273</v>
      </c>
      <c r="B26" s="71" t="s">
        <v>144</v>
      </c>
      <c r="C26" s="114" t="s">
        <v>270</v>
      </c>
      <c r="D26" s="114" t="s">
        <v>290</v>
      </c>
      <c r="E26" s="119" t="s">
        <v>276</v>
      </c>
      <c r="F26" s="116" t="s">
        <v>244</v>
      </c>
      <c r="G26" s="117"/>
    </row>
    <row r="27" spans="1:7" x14ac:dyDescent="0.35">
      <c r="A27" s="71" t="s">
        <v>255</v>
      </c>
      <c r="B27" s="71" t="s">
        <v>144</v>
      </c>
      <c r="C27" s="114" t="s">
        <v>270</v>
      </c>
      <c r="D27" s="114" t="s">
        <v>291</v>
      </c>
      <c r="E27" s="119" t="s">
        <v>278</v>
      </c>
      <c r="F27" s="116" t="s">
        <v>244</v>
      </c>
      <c r="G27" s="117"/>
    </row>
    <row r="28" spans="1:7" x14ac:dyDescent="0.35">
      <c r="A28" s="71" t="s">
        <v>273</v>
      </c>
      <c r="B28" s="71" t="s">
        <v>144</v>
      </c>
      <c r="C28" s="114" t="s">
        <v>292</v>
      </c>
      <c r="D28" s="114" t="s">
        <v>293</v>
      </c>
      <c r="E28" s="119" t="s">
        <v>283</v>
      </c>
      <c r="F28" s="116" t="s">
        <v>244</v>
      </c>
      <c r="G28" s="117"/>
    </row>
    <row r="29" spans="1:7" x14ac:dyDescent="0.35">
      <c r="A29" s="71" t="s">
        <v>255</v>
      </c>
      <c r="B29" s="71" t="s">
        <v>144</v>
      </c>
      <c r="C29" s="114" t="s">
        <v>294</v>
      </c>
      <c r="D29" s="114" t="s">
        <v>295</v>
      </c>
      <c r="E29" s="119" t="s">
        <v>269</v>
      </c>
      <c r="F29" s="116" t="s">
        <v>244</v>
      </c>
      <c r="G29" s="117"/>
    </row>
    <row r="30" spans="1:7" x14ac:dyDescent="0.35">
      <c r="A30" s="71" t="s">
        <v>259</v>
      </c>
      <c r="B30" s="71" t="s">
        <v>144</v>
      </c>
      <c r="C30" s="114" t="s">
        <v>294</v>
      </c>
      <c r="D30" s="114" t="s">
        <v>296</v>
      </c>
      <c r="E30" s="119" t="s">
        <v>269</v>
      </c>
      <c r="F30" s="116" t="s">
        <v>244</v>
      </c>
      <c r="G30" s="117"/>
    </row>
    <row r="31" spans="1:7" x14ac:dyDescent="0.35">
      <c r="A31" s="71" t="s">
        <v>273</v>
      </c>
      <c r="B31" s="71" t="s">
        <v>144</v>
      </c>
      <c r="C31" s="114" t="s">
        <v>297</v>
      </c>
      <c r="D31" s="114" t="s">
        <v>298</v>
      </c>
      <c r="E31" s="119" t="s">
        <v>269</v>
      </c>
      <c r="F31" s="116" t="s">
        <v>244</v>
      </c>
      <c r="G31" s="117"/>
    </row>
    <row r="32" spans="1:7" x14ac:dyDescent="0.35">
      <c r="A32" s="71" t="s">
        <v>259</v>
      </c>
      <c r="B32" s="71" t="s">
        <v>144</v>
      </c>
      <c r="C32" s="114" t="s">
        <v>299</v>
      </c>
      <c r="D32" s="114" t="s">
        <v>300</v>
      </c>
      <c r="E32" s="119" t="s">
        <v>269</v>
      </c>
      <c r="F32" s="116" t="s">
        <v>244</v>
      </c>
      <c r="G32" s="117"/>
    </row>
    <row r="33" spans="1:7" x14ac:dyDescent="0.35">
      <c r="A33" s="120" t="s">
        <v>301</v>
      </c>
      <c r="B33" s="120" t="s">
        <v>144</v>
      </c>
      <c r="C33" s="121" t="s">
        <v>302</v>
      </c>
      <c r="D33" s="121" t="s">
        <v>303</v>
      </c>
      <c r="E33" s="122" t="s">
        <v>278</v>
      </c>
      <c r="F33" s="123" t="s">
        <v>244</v>
      </c>
      <c r="G33" s="124" t="s">
        <v>304</v>
      </c>
    </row>
    <row r="34" spans="1:7" x14ac:dyDescent="0.35">
      <c r="A34" s="125" t="s">
        <v>305</v>
      </c>
      <c r="B34" s="126" t="s">
        <v>306</v>
      </c>
      <c r="C34" s="127" t="s">
        <v>307</v>
      </c>
      <c r="D34" s="127" t="s">
        <v>308</v>
      </c>
      <c r="E34" s="128" t="s">
        <v>309</v>
      </c>
      <c r="F34" s="129" t="s">
        <v>244</v>
      </c>
      <c r="G34" s="130" t="s">
        <v>310</v>
      </c>
    </row>
    <row r="35" spans="1:7" x14ac:dyDescent="0.35">
      <c r="A35" s="71" t="s">
        <v>311</v>
      </c>
      <c r="B35" s="71" t="s">
        <v>144</v>
      </c>
      <c r="C35" s="114" t="s">
        <v>312</v>
      </c>
      <c r="D35" s="114" t="s">
        <v>313</v>
      </c>
      <c r="E35" s="119" t="s">
        <v>285</v>
      </c>
      <c r="F35" s="116" t="s">
        <v>244</v>
      </c>
      <c r="G35" s="117"/>
    </row>
    <row r="36" spans="1:7" x14ac:dyDescent="0.35">
      <c r="A36" s="71" t="s">
        <v>314</v>
      </c>
      <c r="B36" s="71" t="s">
        <v>144</v>
      </c>
      <c r="C36" s="114" t="s">
        <v>312</v>
      </c>
      <c r="D36" s="114" t="s">
        <v>315</v>
      </c>
      <c r="E36" s="119" t="s">
        <v>288</v>
      </c>
      <c r="F36" s="116" t="s">
        <v>244</v>
      </c>
      <c r="G36" s="117"/>
    </row>
    <row r="37" spans="1:7" x14ac:dyDescent="0.35">
      <c r="A37" s="71" t="s">
        <v>316</v>
      </c>
      <c r="B37" s="71" t="s">
        <v>144</v>
      </c>
      <c r="C37" s="114" t="s">
        <v>317</v>
      </c>
      <c r="D37" s="114" t="s">
        <v>318</v>
      </c>
      <c r="E37" s="119" t="s">
        <v>319</v>
      </c>
      <c r="F37" s="116" t="s">
        <v>244</v>
      </c>
      <c r="G37" s="117"/>
    </row>
    <row r="38" spans="1:7" x14ac:dyDescent="0.35">
      <c r="A38" s="71" t="s">
        <v>320</v>
      </c>
      <c r="B38" s="71" t="s">
        <v>149</v>
      </c>
      <c r="C38" s="114" t="s">
        <v>321</v>
      </c>
      <c r="D38" s="114" t="s">
        <v>322</v>
      </c>
      <c r="E38" s="119" t="s">
        <v>323</v>
      </c>
      <c r="F38" s="116" t="s">
        <v>244</v>
      </c>
      <c r="G38" s="117"/>
    </row>
    <row r="39" spans="1:7" x14ac:dyDescent="0.35">
      <c r="A39" s="71" t="s">
        <v>320</v>
      </c>
      <c r="B39" s="71" t="s">
        <v>149</v>
      </c>
      <c r="C39" s="114" t="s">
        <v>324</v>
      </c>
      <c r="D39" s="114" t="s">
        <v>325</v>
      </c>
      <c r="E39" s="119" t="s">
        <v>326</v>
      </c>
      <c r="F39" s="116" t="s">
        <v>244</v>
      </c>
      <c r="G39" s="117"/>
    </row>
    <row r="40" spans="1:7" x14ac:dyDescent="0.35">
      <c r="A40" s="71" t="s">
        <v>327</v>
      </c>
      <c r="B40" s="71" t="s">
        <v>144</v>
      </c>
      <c r="C40" s="114" t="s">
        <v>328</v>
      </c>
      <c r="D40" s="114" t="s">
        <v>329</v>
      </c>
      <c r="E40" s="119" t="s">
        <v>330</v>
      </c>
      <c r="F40" s="116" t="s">
        <v>244</v>
      </c>
      <c r="G40" s="117"/>
    </row>
    <row r="41" spans="1:7" x14ac:dyDescent="0.35">
      <c r="A41" s="71" t="s">
        <v>327</v>
      </c>
      <c r="B41" s="71" t="s">
        <v>144</v>
      </c>
      <c r="C41" s="114" t="s">
        <v>328</v>
      </c>
      <c r="D41" s="114" t="s">
        <v>331</v>
      </c>
      <c r="E41" s="119" t="s">
        <v>332</v>
      </c>
      <c r="F41" s="116" t="s">
        <v>244</v>
      </c>
      <c r="G41" s="117"/>
    </row>
    <row r="42" spans="1:7" x14ac:dyDescent="0.35">
      <c r="A42" s="71" t="s">
        <v>333</v>
      </c>
      <c r="B42" s="71" t="s">
        <v>144</v>
      </c>
      <c r="C42" s="114" t="s">
        <v>334</v>
      </c>
      <c r="D42" s="114" t="s">
        <v>335</v>
      </c>
      <c r="E42" s="119" t="s">
        <v>336</v>
      </c>
      <c r="F42" s="116" t="s">
        <v>244</v>
      </c>
      <c r="G42" s="117"/>
    </row>
    <row r="43" spans="1:7" x14ac:dyDescent="0.35">
      <c r="A43" s="71" t="s">
        <v>273</v>
      </c>
      <c r="B43" s="71" t="s">
        <v>144</v>
      </c>
      <c r="C43" s="114" t="s">
        <v>337</v>
      </c>
      <c r="D43" s="114" t="s">
        <v>338</v>
      </c>
      <c r="E43" s="119" t="s">
        <v>339</v>
      </c>
      <c r="F43" s="116" t="s">
        <v>244</v>
      </c>
      <c r="G43" s="117"/>
    </row>
    <row r="44" spans="1:7" x14ac:dyDescent="0.35">
      <c r="A44" s="71" t="s">
        <v>340</v>
      </c>
      <c r="B44" s="71" t="s">
        <v>144</v>
      </c>
      <c r="C44" s="114" t="s">
        <v>337</v>
      </c>
      <c r="D44" s="114" t="s">
        <v>341</v>
      </c>
      <c r="E44" s="119" t="s">
        <v>342</v>
      </c>
      <c r="F44" s="116" t="s">
        <v>244</v>
      </c>
      <c r="G44" s="117"/>
    </row>
    <row r="45" spans="1:7" x14ac:dyDescent="0.35">
      <c r="A45" s="71" t="s">
        <v>333</v>
      </c>
      <c r="B45" s="71" t="s">
        <v>144</v>
      </c>
      <c r="C45" s="114" t="s">
        <v>337</v>
      </c>
      <c r="D45" s="131" t="s">
        <v>343</v>
      </c>
      <c r="E45" s="119" t="s">
        <v>339</v>
      </c>
      <c r="F45" s="116" t="s">
        <v>244</v>
      </c>
      <c r="G45" s="117"/>
    </row>
    <row r="46" spans="1:7" x14ac:dyDescent="0.35">
      <c r="A46" s="71" t="s">
        <v>333</v>
      </c>
      <c r="B46" s="71" t="s">
        <v>144</v>
      </c>
      <c r="C46" s="114" t="s">
        <v>337</v>
      </c>
      <c r="D46" s="114" t="s">
        <v>344</v>
      </c>
      <c r="E46" s="119" t="s">
        <v>339</v>
      </c>
      <c r="F46" s="116" t="s">
        <v>244</v>
      </c>
      <c r="G46" s="117"/>
    </row>
    <row r="47" spans="1:7" x14ac:dyDescent="0.35">
      <c r="A47" s="71" t="s">
        <v>273</v>
      </c>
      <c r="B47" s="71" t="s">
        <v>144</v>
      </c>
      <c r="C47" s="114" t="s">
        <v>337</v>
      </c>
      <c r="D47" s="114" t="s">
        <v>345</v>
      </c>
      <c r="E47" s="119" t="s">
        <v>342</v>
      </c>
      <c r="F47" s="116" t="s">
        <v>244</v>
      </c>
      <c r="G47" s="117"/>
    </row>
    <row r="48" spans="1:7" x14ac:dyDescent="0.35">
      <c r="A48" s="71" t="s">
        <v>346</v>
      </c>
      <c r="B48" s="71" t="s">
        <v>145</v>
      </c>
      <c r="C48" s="114" t="s">
        <v>337</v>
      </c>
      <c r="D48" s="131" t="s">
        <v>347</v>
      </c>
      <c r="E48" s="119" t="s">
        <v>342</v>
      </c>
      <c r="F48" s="116" t="s">
        <v>244</v>
      </c>
      <c r="G48" s="117"/>
    </row>
    <row r="49" spans="1:7" x14ac:dyDescent="0.35">
      <c r="A49" s="71" t="s">
        <v>348</v>
      </c>
      <c r="B49" s="71" t="s">
        <v>143</v>
      </c>
      <c r="C49" s="114" t="s">
        <v>337</v>
      </c>
      <c r="D49" s="114" t="s">
        <v>349</v>
      </c>
      <c r="E49" s="119" t="s">
        <v>350</v>
      </c>
      <c r="F49" s="116" t="s">
        <v>244</v>
      </c>
      <c r="G49" s="117"/>
    </row>
    <row r="50" spans="1:7" x14ac:dyDescent="0.35">
      <c r="A50" s="71" t="s">
        <v>333</v>
      </c>
      <c r="B50" s="71" t="s">
        <v>144</v>
      </c>
      <c r="C50" s="114" t="s">
        <v>337</v>
      </c>
      <c r="D50" s="131" t="s">
        <v>351</v>
      </c>
      <c r="E50" s="119" t="s">
        <v>352</v>
      </c>
      <c r="F50" s="116" t="s">
        <v>244</v>
      </c>
      <c r="G50" s="117"/>
    </row>
    <row r="51" spans="1:7" x14ac:dyDescent="0.35">
      <c r="A51" s="71" t="s">
        <v>314</v>
      </c>
      <c r="B51" s="71" t="s">
        <v>145</v>
      </c>
      <c r="C51" s="114" t="s">
        <v>337</v>
      </c>
      <c r="D51" s="114" t="s">
        <v>353</v>
      </c>
      <c r="E51" s="119" t="s">
        <v>354</v>
      </c>
      <c r="F51" s="116" t="s">
        <v>244</v>
      </c>
      <c r="G51" s="117"/>
    </row>
    <row r="52" spans="1:7" x14ac:dyDescent="0.35">
      <c r="A52" s="71" t="s">
        <v>314</v>
      </c>
      <c r="B52" s="71" t="s">
        <v>144</v>
      </c>
      <c r="C52" s="114" t="s">
        <v>337</v>
      </c>
      <c r="D52" s="114" t="s">
        <v>355</v>
      </c>
      <c r="E52" s="119" t="s">
        <v>356</v>
      </c>
      <c r="F52" s="116" t="s">
        <v>244</v>
      </c>
      <c r="G52" s="117"/>
    </row>
    <row r="53" spans="1:7" x14ac:dyDescent="0.35">
      <c r="A53" s="71" t="s">
        <v>273</v>
      </c>
      <c r="B53" s="71" t="s">
        <v>144</v>
      </c>
      <c r="C53" s="114" t="s">
        <v>337</v>
      </c>
      <c r="D53" s="114" t="s">
        <v>357</v>
      </c>
      <c r="E53" s="119" t="s">
        <v>339</v>
      </c>
      <c r="F53" s="116" t="s">
        <v>244</v>
      </c>
      <c r="G53" s="117"/>
    </row>
    <row r="54" spans="1:7" x14ac:dyDescent="0.35">
      <c r="A54" s="71" t="s">
        <v>348</v>
      </c>
      <c r="B54" s="71" t="s">
        <v>143</v>
      </c>
      <c r="C54" s="114" t="s">
        <v>337</v>
      </c>
      <c r="D54" s="114" t="s">
        <v>358</v>
      </c>
      <c r="E54" s="119" t="s">
        <v>350</v>
      </c>
      <c r="F54" s="116" t="s">
        <v>244</v>
      </c>
      <c r="G54" s="117"/>
    </row>
    <row r="55" spans="1:7" x14ac:dyDescent="0.35">
      <c r="A55" s="71" t="s">
        <v>348</v>
      </c>
      <c r="B55" s="71" t="s">
        <v>143</v>
      </c>
      <c r="C55" s="114" t="s">
        <v>337</v>
      </c>
      <c r="D55" s="114" t="s">
        <v>359</v>
      </c>
      <c r="E55" s="119" t="s">
        <v>350</v>
      </c>
      <c r="F55" s="116" t="s">
        <v>244</v>
      </c>
      <c r="G55" s="117"/>
    </row>
    <row r="56" spans="1:7" x14ac:dyDescent="0.35">
      <c r="A56" s="71" t="s">
        <v>348</v>
      </c>
      <c r="B56" s="71" t="s">
        <v>143</v>
      </c>
      <c r="C56" s="114" t="s">
        <v>337</v>
      </c>
      <c r="D56" s="114" t="s">
        <v>360</v>
      </c>
      <c r="E56" s="119" t="s">
        <v>339</v>
      </c>
      <c r="F56" s="116" t="s">
        <v>244</v>
      </c>
      <c r="G56" s="117"/>
    </row>
    <row r="57" spans="1:7" x14ac:dyDescent="0.35">
      <c r="A57" s="71" t="s">
        <v>348</v>
      </c>
      <c r="B57" s="71" t="s">
        <v>143</v>
      </c>
      <c r="C57" s="114" t="s">
        <v>337</v>
      </c>
      <c r="D57" s="114" t="s">
        <v>361</v>
      </c>
      <c r="E57" s="119" t="s">
        <v>339</v>
      </c>
      <c r="F57" s="116" t="s">
        <v>244</v>
      </c>
      <c r="G57" s="117"/>
    </row>
    <row r="58" spans="1:7" x14ac:dyDescent="0.35">
      <c r="A58" s="71" t="s">
        <v>348</v>
      </c>
      <c r="B58" s="71" t="s">
        <v>143</v>
      </c>
      <c r="C58" s="114" t="s">
        <v>337</v>
      </c>
      <c r="D58" s="114" t="s">
        <v>362</v>
      </c>
      <c r="E58" s="119" t="s">
        <v>339</v>
      </c>
      <c r="F58" s="116" t="s">
        <v>244</v>
      </c>
      <c r="G58" s="117"/>
    </row>
    <row r="59" spans="1:7" x14ac:dyDescent="0.35">
      <c r="A59" s="71" t="s">
        <v>348</v>
      </c>
      <c r="B59" s="71" t="s">
        <v>143</v>
      </c>
      <c r="C59" s="114" t="s">
        <v>337</v>
      </c>
      <c r="D59" s="114" t="s">
        <v>363</v>
      </c>
      <c r="E59" s="119" t="s">
        <v>342</v>
      </c>
      <c r="F59" s="116" t="s">
        <v>244</v>
      </c>
      <c r="G59" s="117"/>
    </row>
    <row r="60" spans="1:7" x14ac:dyDescent="0.35">
      <c r="A60" s="71" t="s">
        <v>348</v>
      </c>
      <c r="B60" s="71" t="s">
        <v>143</v>
      </c>
      <c r="C60" s="114" t="s">
        <v>337</v>
      </c>
      <c r="D60" s="114" t="s">
        <v>364</v>
      </c>
      <c r="E60" s="119" t="s">
        <v>342</v>
      </c>
      <c r="F60" s="116" t="s">
        <v>244</v>
      </c>
      <c r="G60" s="117"/>
    </row>
    <row r="61" spans="1:7" x14ac:dyDescent="0.35">
      <c r="A61" s="71" t="s">
        <v>348</v>
      </c>
      <c r="B61" s="71" t="s">
        <v>143</v>
      </c>
      <c r="C61" s="114" t="s">
        <v>337</v>
      </c>
      <c r="D61" s="114" t="s">
        <v>365</v>
      </c>
      <c r="E61" s="119" t="s">
        <v>366</v>
      </c>
      <c r="F61" s="116" t="s">
        <v>244</v>
      </c>
      <c r="G61" s="117"/>
    </row>
    <row r="62" spans="1:7" x14ac:dyDescent="0.35">
      <c r="A62" s="71" t="s">
        <v>348</v>
      </c>
      <c r="B62" s="71" t="s">
        <v>143</v>
      </c>
      <c r="C62" s="114" t="s">
        <v>337</v>
      </c>
      <c r="D62" s="114" t="s">
        <v>367</v>
      </c>
      <c r="E62" s="119" t="s">
        <v>350</v>
      </c>
      <c r="F62" s="116" t="s">
        <v>244</v>
      </c>
      <c r="G62" s="117"/>
    </row>
    <row r="63" spans="1:7" x14ac:dyDescent="0.35">
      <c r="A63" s="71" t="s">
        <v>368</v>
      </c>
      <c r="B63" s="71" t="s">
        <v>144</v>
      </c>
      <c r="C63" s="114" t="s">
        <v>369</v>
      </c>
      <c r="D63" s="114" t="s">
        <v>370</v>
      </c>
      <c r="E63" s="119" t="s">
        <v>283</v>
      </c>
      <c r="F63" s="116" t="s">
        <v>244</v>
      </c>
      <c r="G63" s="117"/>
    </row>
    <row r="64" spans="1:7" x14ac:dyDescent="0.35">
      <c r="A64" s="71" t="s">
        <v>314</v>
      </c>
      <c r="B64" s="71" t="s">
        <v>145</v>
      </c>
      <c r="C64" s="114" t="s">
        <v>328</v>
      </c>
      <c r="D64" s="114" t="s">
        <v>371</v>
      </c>
      <c r="E64" s="119" t="s">
        <v>354</v>
      </c>
      <c r="F64" s="116" t="s">
        <v>244</v>
      </c>
      <c r="G64" s="117"/>
    </row>
    <row r="65" spans="1:7" x14ac:dyDescent="0.35">
      <c r="A65" s="71" t="s">
        <v>372</v>
      </c>
      <c r="B65" s="71" t="s">
        <v>145</v>
      </c>
      <c r="C65" s="114" t="s">
        <v>328</v>
      </c>
      <c r="D65" s="114" t="s">
        <v>373</v>
      </c>
      <c r="E65" s="119" t="s">
        <v>342</v>
      </c>
      <c r="F65" s="116" t="s">
        <v>244</v>
      </c>
      <c r="G65" s="117"/>
    </row>
    <row r="66" spans="1:7" x14ac:dyDescent="0.35">
      <c r="A66" s="71" t="s">
        <v>333</v>
      </c>
      <c r="B66" s="71" t="s">
        <v>144</v>
      </c>
      <c r="C66" s="114" t="s">
        <v>328</v>
      </c>
      <c r="D66" s="114" t="s">
        <v>374</v>
      </c>
      <c r="E66" s="119" t="s">
        <v>339</v>
      </c>
      <c r="F66" s="116" t="s">
        <v>244</v>
      </c>
      <c r="G66" s="117" t="s">
        <v>375</v>
      </c>
    </row>
    <row r="67" spans="1:7" x14ac:dyDescent="0.35">
      <c r="A67" s="71" t="s">
        <v>372</v>
      </c>
      <c r="B67" s="71" t="s">
        <v>144</v>
      </c>
      <c r="C67" s="114" t="s">
        <v>328</v>
      </c>
      <c r="D67" s="114" t="s">
        <v>376</v>
      </c>
      <c r="E67" s="119" t="s">
        <v>339</v>
      </c>
      <c r="F67" s="116" t="s">
        <v>244</v>
      </c>
      <c r="G67" s="117"/>
    </row>
    <row r="68" spans="1:7" x14ac:dyDescent="0.35">
      <c r="A68" s="71" t="s">
        <v>333</v>
      </c>
      <c r="B68" s="71" t="s">
        <v>144</v>
      </c>
      <c r="C68" s="114" t="s">
        <v>328</v>
      </c>
      <c r="D68" s="114" t="s">
        <v>377</v>
      </c>
      <c r="E68" s="119" t="s">
        <v>339</v>
      </c>
      <c r="F68" s="116" t="s">
        <v>244</v>
      </c>
      <c r="G68" s="117" t="s">
        <v>375</v>
      </c>
    </row>
    <row r="69" spans="1:7" x14ac:dyDescent="0.35">
      <c r="A69" s="71" t="s">
        <v>372</v>
      </c>
      <c r="B69" s="71" t="s">
        <v>144</v>
      </c>
      <c r="C69" s="114" t="s">
        <v>328</v>
      </c>
      <c r="D69" s="114" t="s">
        <v>378</v>
      </c>
      <c r="E69" s="119" t="s">
        <v>379</v>
      </c>
      <c r="F69" s="116" t="s">
        <v>244</v>
      </c>
      <c r="G69" s="117"/>
    </row>
    <row r="70" spans="1:7" x14ac:dyDescent="0.35">
      <c r="A70" s="71" t="s">
        <v>333</v>
      </c>
      <c r="B70" s="71" t="s">
        <v>144</v>
      </c>
      <c r="C70" s="114" t="s">
        <v>328</v>
      </c>
      <c r="D70" s="114" t="s">
        <v>380</v>
      </c>
      <c r="E70" s="119" t="s">
        <v>339</v>
      </c>
      <c r="F70" s="116" t="s">
        <v>244</v>
      </c>
      <c r="G70" s="117"/>
    </row>
    <row r="71" spans="1:7" x14ac:dyDescent="0.35">
      <c r="A71" s="71" t="s">
        <v>340</v>
      </c>
      <c r="B71" s="71" t="s">
        <v>144</v>
      </c>
      <c r="C71" s="114" t="s">
        <v>328</v>
      </c>
      <c r="D71" s="114" t="s">
        <v>381</v>
      </c>
      <c r="E71" s="119" t="s">
        <v>354</v>
      </c>
      <c r="F71" s="116" t="s">
        <v>244</v>
      </c>
      <c r="G71" s="117"/>
    </row>
    <row r="72" spans="1:7" x14ac:dyDescent="0.35">
      <c r="A72" s="71" t="s">
        <v>372</v>
      </c>
      <c r="B72" s="71" t="s">
        <v>144</v>
      </c>
      <c r="C72" s="114" t="s">
        <v>328</v>
      </c>
      <c r="D72" s="114" t="s">
        <v>382</v>
      </c>
      <c r="E72" s="119" t="s">
        <v>383</v>
      </c>
      <c r="F72" s="116" t="s">
        <v>244</v>
      </c>
      <c r="G72" s="117"/>
    </row>
    <row r="73" spans="1:7" x14ac:dyDescent="0.35">
      <c r="A73" s="71" t="s">
        <v>333</v>
      </c>
      <c r="B73" s="71" t="s">
        <v>144</v>
      </c>
      <c r="C73" s="114" t="s">
        <v>328</v>
      </c>
      <c r="D73" s="114" t="s">
        <v>384</v>
      </c>
      <c r="E73" s="119" t="s">
        <v>385</v>
      </c>
      <c r="F73" s="116" t="s">
        <v>244</v>
      </c>
      <c r="G73" s="117" t="s">
        <v>375</v>
      </c>
    </row>
    <row r="74" spans="1:7" x14ac:dyDescent="0.35">
      <c r="A74" s="71" t="s">
        <v>348</v>
      </c>
      <c r="B74" s="71" t="s">
        <v>143</v>
      </c>
      <c r="C74" s="114" t="s">
        <v>328</v>
      </c>
      <c r="D74" s="114" t="s">
        <v>386</v>
      </c>
      <c r="E74" s="119" t="s">
        <v>350</v>
      </c>
      <c r="F74" s="116" t="s">
        <v>244</v>
      </c>
      <c r="G74" s="117"/>
    </row>
    <row r="75" spans="1:7" x14ac:dyDescent="0.35">
      <c r="A75" s="71" t="s">
        <v>372</v>
      </c>
      <c r="B75" s="71" t="s">
        <v>144</v>
      </c>
      <c r="C75" s="114" t="s">
        <v>328</v>
      </c>
      <c r="D75" s="114" t="s">
        <v>387</v>
      </c>
      <c r="E75" s="119" t="s">
        <v>342</v>
      </c>
      <c r="F75" s="116" t="s">
        <v>244</v>
      </c>
      <c r="G75" s="117" t="s">
        <v>375</v>
      </c>
    </row>
    <row r="76" spans="1:7" x14ac:dyDescent="0.35">
      <c r="A76" s="71" t="s">
        <v>333</v>
      </c>
      <c r="B76" s="71" t="s">
        <v>145</v>
      </c>
      <c r="C76" s="114" t="s">
        <v>328</v>
      </c>
      <c r="D76" s="114" t="s">
        <v>388</v>
      </c>
      <c r="E76" s="119" t="s">
        <v>350</v>
      </c>
      <c r="F76" s="116" t="s">
        <v>244</v>
      </c>
      <c r="G76" s="117"/>
    </row>
    <row r="77" spans="1:7" x14ac:dyDescent="0.35">
      <c r="A77" s="71" t="s">
        <v>273</v>
      </c>
      <c r="B77" s="71" t="s">
        <v>144</v>
      </c>
      <c r="C77" s="114" t="s">
        <v>270</v>
      </c>
      <c r="D77" s="114" t="s">
        <v>389</v>
      </c>
      <c r="E77" s="119" t="s">
        <v>283</v>
      </c>
      <c r="F77" s="116" t="s">
        <v>244</v>
      </c>
      <c r="G77" s="117"/>
    </row>
    <row r="78" spans="1:7" x14ac:dyDescent="0.35">
      <c r="A78" s="71" t="s">
        <v>273</v>
      </c>
      <c r="B78" s="71" t="s">
        <v>144</v>
      </c>
      <c r="C78" s="114" t="s">
        <v>270</v>
      </c>
      <c r="D78" s="114" t="s">
        <v>390</v>
      </c>
      <c r="E78" s="119" t="s">
        <v>276</v>
      </c>
      <c r="F78" s="116" t="s">
        <v>244</v>
      </c>
      <c r="G78" s="117"/>
    </row>
    <row r="79" spans="1:7" x14ac:dyDescent="0.35">
      <c r="A79" s="71" t="s">
        <v>340</v>
      </c>
      <c r="B79" s="71" t="s">
        <v>144</v>
      </c>
      <c r="C79" s="114" t="s">
        <v>270</v>
      </c>
      <c r="D79" s="114" t="s">
        <v>391</v>
      </c>
      <c r="E79" s="119" t="s">
        <v>283</v>
      </c>
      <c r="F79" s="116" t="s">
        <v>244</v>
      </c>
      <c r="G79" s="117"/>
    </row>
    <row r="80" spans="1:7" x14ac:dyDescent="0.35">
      <c r="A80" s="71" t="s">
        <v>340</v>
      </c>
      <c r="B80" s="71" t="s">
        <v>144</v>
      </c>
      <c r="C80" s="114" t="s">
        <v>270</v>
      </c>
      <c r="D80" s="114" t="s">
        <v>392</v>
      </c>
      <c r="E80" s="119" t="s">
        <v>283</v>
      </c>
      <c r="F80" s="116" t="s">
        <v>244</v>
      </c>
      <c r="G80" s="117"/>
    </row>
    <row r="81" spans="1:7" x14ac:dyDescent="0.35">
      <c r="A81" s="71" t="s">
        <v>340</v>
      </c>
      <c r="B81" s="71" t="s">
        <v>144</v>
      </c>
      <c r="C81" s="114" t="s">
        <v>270</v>
      </c>
      <c r="D81" s="114" t="s">
        <v>393</v>
      </c>
      <c r="E81" s="119" t="s">
        <v>394</v>
      </c>
      <c r="F81" s="116" t="s">
        <v>244</v>
      </c>
      <c r="G81" s="117"/>
    </row>
    <row r="82" spans="1:7" x14ac:dyDescent="0.35">
      <c r="A82" s="71" t="s">
        <v>273</v>
      </c>
      <c r="B82" s="71" t="s">
        <v>144</v>
      </c>
      <c r="C82" s="114" t="s">
        <v>270</v>
      </c>
      <c r="D82" s="114" t="s">
        <v>395</v>
      </c>
      <c r="E82" s="119" t="s">
        <v>283</v>
      </c>
      <c r="F82" s="116" t="s">
        <v>244</v>
      </c>
      <c r="G82" s="117"/>
    </row>
    <row r="83" spans="1:7" x14ac:dyDescent="0.35">
      <c r="A83" s="71" t="s">
        <v>273</v>
      </c>
      <c r="B83" s="71" t="s">
        <v>144</v>
      </c>
      <c r="C83" s="114" t="s">
        <v>270</v>
      </c>
      <c r="D83" s="114" t="s">
        <v>396</v>
      </c>
      <c r="E83" s="119" t="s">
        <v>397</v>
      </c>
      <c r="F83" s="116" t="s">
        <v>244</v>
      </c>
      <c r="G83" s="117"/>
    </row>
    <row r="84" spans="1:7" x14ac:dyDescent="0.35">
      <c r="A84" s="71" t="s">
        <v>273</v>
      </c>
      <c r="B84" s="71" t="s">
        <v>144</v>
      </c>
      <c r="C84" s="114" t="s">
        <v>270</v>
      </c>
      <c r="D84" s="114" t="s">
        <v>398</v>
      </c>
      <c r="E84" s="119" t="s">
        <v>288</v>
      </c>
      <c r="F84" s="116" t="s">
        <v>244</v>
      </c>
      <c r="G84" s="117"/>
    </row>
    <row r="85" spans="1:7" x14ac:dyDescent="0.35">
      <c r="A85" s="71" t="s">
        <v>399</v>
      </c>
      <c r="B85" s="71" t="s">
        <v>148</v>
      </c>
      <c r="C85" s="114" t="s">
        <v>400</v>
      </c>
      <c r="D85" s="114" t="s">
        <v>401</v>
      </c>
      <c r="E85" s="119" t="s">
        <v>397</v>
      </c>
      <c r="F85" s="116" t="s">
        <v>244</v>
      </c>
      <c r="G85" s="117"/>
    </row>
    <row r="86" spans="1:7" x14ac:dyDescent="0.35">
      <c r="A86" s="71" t="s">
        <v>402</v>
      </c>
      <c r="B86" s="71" t="s">
        <v>151</v>
      </c>
      <c r="C86" s="114" t="s">
        <v>403</v>
      </c>
      <c r="D86" s="114" t="s">
        <v>404</v>
      </c>
      <c r="E86" s="119" t="s">
        <v>397</v>
      </c>
      <c r="F86" s="116" t="s">
        <v>244</v>
      </c>
      <c r="G86" s="117"/>
    </row>
    <row r="87" spans="1:7" x14ac:dyDescent="0.35">
      <c r="A87" s="71" t="s">
        <v>314</v>
      </c>
      <c r="B87" s="71" t="s">
        <v>143</v>
      </c>
      <c r="C87" s="114" t="s">
        <v>405</v>
      </c>
      <c r="D87" s="114" t="s">
        <v>406</v>
      </c>
      <c r="E87" s="119" t="s">
        <v>407</v>
      </c>
      <c r="F87" s="116" t="s">
        <v>244</v>
      </c>
      <c r="G87" s="117" t="s">
        <v>375</v>
      </c>
    </row>
    <row r="88" spans="1:7" x14ac:dyDescent="0.35">
      <c r="A88" s="71" t="s">
        <v>314</v>
      </c>
      <c r="B88" s="71" t="s">
        <v>143</v>
      </c>
      <c r="C88" s="114" t="s">
        <v>405</v>
      </c>
      <c r="D88" s="114" t="s">
        <v>408</v>
      </c>
      <c r="E88" s="119" t="s">
        <v>409</v>
      </c>
      <c r="F88" s="116" t="s">
        <v>244</v>
      </c>
      <c r="G88" s="117" t="s">
        <v>375</v>
      </c>
    </row>
    <row r="89" spans="1:7" x14ac:dyDescent="0.35">
      <c r="A89" s="71" t="s">
        <v>314</v>
      </c>
      <c r="B89" s="71" t="s">
        <v>143</v>
      </c>
      <c r="C89" s="114" t="s">
        <v>405</v>
      </c>
      <c r="D89" s="114" t="s">
        <v>410</v>
      </c>
      <c r="E89" s="119" t="s">
        <v>411</v>
      </c>
      <c r="F89" s="116" t="s">
        <v>244</v>
      </c>
      <c r="G89" s="117" t="s">
        <v>375</v>
      </c>
    </row>
    <row r="90" spans="1:7" x14ac:dyDescent="0.35">
      <c r="A90" s="71" t="s">
        <v>314</v>
      </c>
      <c r="B90" s="71" t="s">
        <v>143</v>
      </c>
      <c r="C90" s="114" t="s">
        <v>405</v>
      </c>
      <c r="D90" s="114" t="s">
        <v>412</v>
      </c>
      <c r="E90" s="119" t="s">
        <v>413</v>
      </c>
      <c r="F90" s="116" t="s">
        <v>244</v>
      </c>
      <c r="G90" s="117" t="s">
        <v>375</v>
      </c>
    </row>
    <row r="91" spans="1:7" x14ac:dyDescent="0.35">
      <c r="A91" s="71" t="s">
        <v>314</v>
      </c>
      <c r="B91" s="71" t="s">
        <v>143</v>
      </c>
      <c r="C91" s="114" t="s">
        <v>405</v>
      </c>
      <c r="D91" s="114" t="s">
        <v>414</v>
      </c>
      <c r="E91" s="119" t="s">
        <v>415</v>
      </c>
      <c r="F91" s="116" t="s">
        <v>244</v>
      </c>
      <c r="G91" s="117" t="s">
        <v>375</v>
      </c>
    </row>
    <row r="92" spans="1:7" x14ac:dyDescent="0.35">
      <c r="A92" s="71" t="s">
        <v>314</v>
      </c>
      <c r="B92" s="71" t="s">
        <v>143</v>
      </c>
      <c r="C92" s="114" t="s">
        <v>405</v>
      </c>
      <c r="D92" s="114" t="s">
        <v>416</v>
      </c>
      <c r="E92" s="119" t="s">
        <v>276</v>
      </c>
      <c r="F92" s="116" t="s">
        <v>244</v>
      </c>
      <c r="G92" s="117" t="s">
        <v>375</v>
      </c>
    </row>
    <row r="93" spans="1:7" x14ac:dyDescent="0.35">
      <c r="A93" s="71" t="s">
        <v>314</v>
      </c>
      <c r="B93" s="71" t="s">
        <v>143</v>
      </c>
      <c r="C93" s="114" t="s">
        <v>405</v>
      </c>
      <c r="D93" s="114" t="s">
        <v>417</v>
      </c>
      <c r="E93" s="119" t="s">
        <v>418</v>
      </c>
      <c r="F93" s="116" t="s">
        <v>244</v>
      </c>
      <c r="G93" s="117" t="s">
        <v>375</v>
      </c>
    </row>
    <row r="94" spans="1:7" x14ac:dyDescent="0.35">
      <c r="A94" s="71" t="s">
        <v>314</v>
      </c>
      <c r="B94" s="71" t="s">
        <v>143</v>
      </c>
      <c r="C94" s="114" t="s">
        <v>405</v>
      </c>
      <c r="D94" s="114" t="s">
        <v>419</v>
      </c>
      <c r="E94" s="119" t="s">
        <v>420</v>
      </c>
      <c r="F94" s="116" t="s">
        <v>244</v>
      </c>
      <c r="G94" s="117" t="s">
        <v>375</v>
      </c>
    </row>
    <row r="95" spans="1:7" x14ac:dyDescent="0.35">
      <c r="A95" s="71" t="s">
        <v>314</v>
      </c>
      <c r="B95" s="71" t="s">
        <v>143</v>
      </c>
      <c r="C95" s="114" t="s">
        <v>405</v>
      </c>
      <c r="D95" s="114" t="s">
        <v>421</v>
      </c>
      <c r="E95" s="119" t="s">
        <v>422</v>
      </c>
      <c r="F95" s="116" t="s">
        <v>244</v>
      </c>
      <c r="G95" s="117" t="s">
        <v>375</v>
      </c>
    </row>
    <row r="96" spans="1:7" x14ac:dyDescent="0.35">
      <c r="A96" s="71" t="s">
        <v>314</v>
      </c>
      <c r="B96" s="71" t="s">
        <v>143</v>
      </c>
      <c r="C96" s="114" t="s">
        <v>405</v>
      </c>
      <c r="D96" s="114" t="s">
        <v>423</v>
      </c>
      <c r="E96" s="119" t="s">
        <v>407</v>
      </c>
      <c r="F96" s="116" t="s">
        <v>244</v>
      </c>
      <c r="G96" s="117" t="s">
        <v>375</v>
      </c>
    </row>
    <row r="97" spans="1:7" x14ac:dyDescent="0.35">
      <c r="A97" s="71" t="s">
        <v>314</v>
      </c>
      <c r="B97" s="71" t="s">
        <v>143</v>
      </c>
      <c r="C97" s="114" t="s">
        <v>405</v>
      </c>
      <c r="D97" s="114" t="s">
        <v>424</v>
      </c>
      <c r="E97" s="119" t="s">
        <v>422</v>
      </c>
      <c r="F97" s="116" t="s">
        <v>244</v>
      </c>
      <c r="G97" s="117" t="s">
        <v>375</v>
      </c>
    </row>
    <row r="98" spans="1:7" x14ac:dyDescent="0.35">
      <c r="A98" s="71" t="s">
        <v>314</v>
      </c>
      <c r="B98" s="71" t="s">
        <v>145</v>
      </c>
      <c r="C98" s="114" t="s">
        <v>405</v>
      </c>
      <c r="D98" s="114" t="s">
        <v>425</v>
      </c>
      <c r="E98" s="119" t="s">
        <v>426</v>
      </c>
      <c r="F98" s="116" t="s">
        <v>244</v>
      </c>
      <c r="G98" s="117" t="s">
        <v>427</v>
      </c>
    </row>
    <row r="99" spans="1:7" x14ac:dyDescent="0.35">
      <c r="A99" s="71" t="s">
        <v>346</v>
      </c>
      <c r="B99" s="71" t="s">
        <v>143</v>
      </c>
      <c r="C99" s="114" t="s">
        <v>428</v>
      </c>
      <c r="D99" s="114" t="s">
        <v>429</v>
      </c>
      <c r="E99" s="119">
        <v>70</v>
      </c>
      <c r="F99" s="116" t="s">
        <v>244</v>
      </c>
      <c r="G99" s="117" t="s">
        <v>375</v>
      </c>
    </row>
    <row r="100" spans="1:7" x14ac:dyDescent="0.35">
      <c r="A100" s="71" t="s">
        <v>273</v>
      </c>
      <c r="B100" s="71" t="s">
        <v>144</v>
      </c>
      <c r="C100" s="114" t="s">
        <v>292</v>
      </c>
      <c r="D100" s="114" t="s">
        <v>430</v>
      </c>
      <c r="E100" s="119" t="s">
        <v>283</v>
      </c>
      <c r="F100" s="116" t="s">
        <v>244</v>
      </c>
      <c r="G100" s="117"/>
    </row>
    <row r="101" spans="1:7" x14ac:dyDescent="0.35">
      <c r="A101" s="71" t="s">
        <v>340</v>
      </c>
      <c r="B101" s="71" t="s">
        <v>144</v>
      </c>
      <c r="C101" s="114" t="s">
        <v>292</v>
      </c>
      <c r="D101" s="114" t="s">
        <v>431</v>
      </c>
      <c r="E101" s="119" t="s">
        <v>432</v>
      </c>
      <c r="F101" s="116" t="s">
        <v>244</v>
      </c>
      <c r="G101" s="117"/>
    </row>
    <row r="102" spans="1:7" x14ac:dyDescent="0.35">
      <c r="A102" s="71" t="s">
        <v>402</v>
      </c>
      <c r="B102" s="71" t="s">
        <v>151</v>
      </c>
      <c r="C102" s="114" t="s">
        <v>433</v>
      </c>
      <c r="D102" s="114" t="s">
        <v>434</v>
      </c>
      <c r="E102" s="119" t="s">
        <v>397</v>
      </c>
      <c r="F102" s="116" t="s">
        <v>244</v>
      </c>
      <c r="G102" s="117"/>
    </row>
    <row r="103" spans="1:7" x14ac:dyDescent="0.35">
      <c r="A103" s="71" t="s">
        <v>320</v>
      </c>
      <c r="B103" s="71" t="s">
        <v>149</v>
      </c>
      <c r="C103" s="114" t="s">
        <v>324</v>
      </c>
      <c r="D103" s="114" t="s">
        <v>435</v>
      </c>
      <c r="E103" s="119" t="s">
        <v>436</v>
      </c>
      <c r="F103" s="116" t="s">
        <v>244</v>
      </c>
      <c r="G103" s="117"/>
    </row>
    <row r="104" spans="1:7" x14ac:dyDescent="0.35">
      <c r="A104" s="71" t="s">
        <v>348</v>
      </c>
      <c r="B104" s="71" t="s">
        <v>143</v>
      </c>
      <c r="C104" s="114" t="s">
        <v>437</v>
      </c>
      <c r="D104" s="114" t="s">
        <v>438</v>
      </c>
      <c r="E104" s="119" t="s">
        <v>439</v>
      </c>
      <c r="F104" s="116" t="s">
        <v>244</v>
      </c>
      <c r="G104" s="117"/>
    </row>
    <row r="105" spans="1:7" x14ac:dyDescent="0.35">
      <c r="A105" s="71" t="s">
        <v>348</v>
      </c>
      <c r="B105" s="71" t="s">
        <v>143</v>
      </c>
      <c r="C105" s="114" t="s">
        <v>437</v>
      </c>
      <c r="D105" s="114" t="s">
        <v>440</v>
      </c>
      <c r="E105" s="119" t="s">
        <v>339</v>
      </c>
      <c r="F105" s="116" t="s">
        <v>244</v>
      </c>
      <c r="G105" s="117"/>
    </row>
    <row r="106" spans="1:7" x14ac:dyDescent="0.35">
      <c r="A106" s="71" t="s">
        <v>348</v>
      </c>
      <c r="B106" s="71" t="s">
        <v>143</v>
      </c>
      <c r="C106" s="114" t="s">
        <v>437</v>
      </c>
      <c r="D106" s="114" t="s">
        <v>441</v>
      </c>
      <c r="E106" s="119" t="s">
        <v>269</v>
      </c>
      <c r="F106" s="116" t="s">
        <v>244</v>
      </c>
      <c r="G106" s="117"/>
    </row>
    <row r="107" spans="1:7" x14ac:dyDescent="0.35">
      <c r="A107" s="71" t="s">
        <v>273</v>
      </c>
      <c r="B107" s="71" t="s">
        <v>144</v>
      </c>
      <c r="C107" s="114" t="s">
        <v>437</v>
      </c>
      <c r="D107" s="114" t="s">
        <v>442</v>
      </c>
      <c r="E107" s="119" t="s">
        <v>269</v>
      </c>
      <c r="F107" s="116" t="s">
        <v>244</v>
      </c>
      <c r="G107" s="117"/>
    </row>
    <row r="108" spans="1:7" x14ac:dyDescent="0.35">
      <c r="A108" s="71" t="s">
        <v>348</v>
      </c>
      <c r="B108" s="71" t="s">
        <v>143</v>
      </c>
      <c r="C108" s="114" t="s">
        <v>437</v>
      </c>
      <c r="D108" s="114" t="s">
        <v>443</v>
      </c>
      <c r="E108" s="119" t="s">
        <v>269</v>
      </c>
      <c r="F108" s="116" t="s">
        <v>244</v>
      </c>
      <c r="G108" s="117"/>
    </row>
    <row r="109" spans="1:7" x14ac:dyDescent="0.35">
      <c r="A109" s="71" t="s">
        <v>348</v>
      </c>
      <c r="B109" s="71" t="s">
        <v>143</v>
      </c>
      <c r="C109" s="114" t="s">
        <v>437</v>
      </c>
      <c r="D109" s="114" t="s">
        <v>444</v>
      </c>
      <c r="E109" s="119" t="s">
        <v>269</v>
      </c>
      <c r="F109" s="116" t="s">
        <v>244</v>
      </c>
      <c r="G109" s="117"/>
    </row>
    <row r="110" spans="1:7" x14ac:dyDescent="0.35">
      <c r="A110" s="71" t="s">
        <v>445</v>
      </c>
      <c r="B110" s="71" t="s">
        <v>145</v>
      </c>
      <c r="C110" s="114" t="s">
        <v>437</v>
      </c>
      <c r="D110" s="114" t="s">
        <v>446</v>
      </c>
      <c r="E110" s="119" t="s">
        <v>269</v>
      </c>
      <c r="F110" s="116" t="s">
        <v>244</v>
      </c>
      <c r="G110" s="117"/>
    </row>
    <row r="111" spans="1:7" x14ac:dyDescent="0.35">
      <c r="A111" s="71" t="s">
        <v>348</v>
      </c>
      <c r="B111" s="71" t="s">
        <v>143</v>
      </c>
      <c r="C111" s="114" t="s">
        <v>437</v>
      </c>
      <c r="D111" s="114" t="s">
        <v>447</v>
      </c>
      <c r="E111" s="119" t="s">
        <v>420</v>
      </c>
      <c r="F111" s="116" t="s">
        <v>244</v>
      </c>
      <c r="G111" s="117"/>
    </row>
    <row r="112" spans="1:7" x14ac:dyDescent="0.35">
      <c r="A112" s="71" t="s">
        <v>348</v>
      </c>
      <c r="B112" s="71" t="s">
        <v>143</v>
      </c>
      <c r="C112" s="114" t="s">
        <v>437</v>
      </c>
      <c r="D112" s="114" t="s">
        <v>448</v>
      </c>
      <c r="E112" s="119" t="s">
        <v>449</v>
      </c>
      <c r="F112" s="116" t="s">
        <v>244</v>
      </c>
      <c r="G112" s="117"/>
    </row>
    <row r="113" spans="1:7" x14ac:dyDescent="0.35">
      <c r="A113" s="71" t="s">
        <v>348</v>
      </c>
      <c r="B113" s="71" t="s">
        <v>143</v>
      </c>
      <c r="C113" s="114" t="s">
        <v>437</v>
      </c>
      <c r="D113" s="114" t="s">
        <v>450</v>
      </c>
      <c r="E113" s="119" t="s">
        <v>269</v>
      </c>
      <c r="F113" s="116" t="s">
        <v>244</v>
      </c>
      <c r="G113" s="117"/>
    </row>
    <row r="114" spans="1:7" x14ac:dyDescent="0.35">
      <c r="A114" s="71" t="s">
        <v>348</v>
      </c>
      <c r="B114" s="71" t="s">
        <v>143</v>
      </c>
      <c r="C114" s="114" t="s">
        <v>437</v>
      </c>
      <c r="D114" s="114" t="s">
        <v>451</v>
      </c>
      <c r="E114" s="119" t="s">
        <v>269</v>
      </c>
      <c r="F114" s="116" t="s">
        <v>244</v>
      </c>
      <c r="G114" s="117"/>
    </row>
    <row r="115" spans="1:7" x14ac:dyDescent="0.35">
      <c r="A115" s="71" t="s">
        <v>348</v>
      </c>
      <c r="B115" s="71" t="s">
        <v>143</v>
      </c>
      <c r="C115" s="114" t="s">
        <v>437</v>
      </c>
      <c r="D115" s="114" t="s">
        <v>452</v>
      </c>
      <c r="E115" s="119" t="s">
        <v>269</v>
      </c>
      <c r="F115" s="116" t="s">
        <v>244</v>
      </c>
      <c r="G115" s="117"/>
    </row>
    <row r="116" spans="1:7" x14ac:dyDescent="0.35">
      <c r="A116" s="71" t="s">
        <v>348</v>
      </c>
      <c r="B116" s="71" t="s">
        <v>143</v>
      </c>
      <c r="C116" s="114" t="s">
        <v>453</v>
      </c>
      <c r="D116" s="114" t="s">
        <v>454</v>
      </c>
      <c r="E116" s="119" t="s">
        <v>455</v>
      </c>
      <c r="F116" s="116" t="s">
        <v>244</v>
      </c>
      <c r="G116" s="117"/>
    </row>
    <row r="117" spans="1:7" x14ac:dyDescent="0.35">
      <c r="A117" s="71" t="s">
        <v>348</v>
      </c>
      <c r="B117" s="71" t="s">
        <v>143</v>
      </c>
      <c r="C117" s="114" t="s">
        <v>453</v>
      </c>
      <c r="D117" s="114" t="s">
        <v>456</v>
      </c>
      <c r="E117" s="119" t="s">
        <v>319</v>
      </c>
      <c r="F117" s="116" t="s">
        <v>244</v>
      </c>
      <c r="G117" s="117"/>
    </row>
    <row r="118" spans="1:7" x14ac:dyDescent="0.35">
      <c r="A118" s="71" t="s">
        <v>348</v>
      </c>
      <c r="B118" s="71" t="s">
        <v>143</v>
      </c>
      <c r="C118" s="114" t="s">
        <v>453</v>
      </c>
      <c r="D118" s="114" t="s">
        <v>457</v>
      </c>
      <c r="E118" s="119" t="s">
        <v>458</v>
      </c>
      <c r="F118" s="116" t="s">
        <v>244</v>
      </c>
      <c r="G118" s="117"/>
    </row>
    <row r="119" spans="1:7" x14ac:dyDescent="0.35">
      <c r="A119" s="71" t="s">
        <v>348</v>
      </c>
      <c r="B119" s="71" t="s">
        <v>143</v>
      </c>
      <c r="C119" s="114" t="s">
        <v>453</v>
      </c>
      <c r="D119" s="114" t="s">
        <v>459</v>
      </c>
      <c r="E119" s="119" t="s">
        <v>455</v>
      </c>
      <c r="F119" s="116" t="s">
        <v>244</v>
      </c>
      <c r="G119" s="117"/>
    </row>
    <row r="120" spans="1:7" x14ac:dyDescent="0.35">
      <c r="A120" s="71" t="s">
        <v>348</v>
      </c>
      <c r="B120" s="71" t="s">
        <v>143</v>
      </c>
      <c r="C120" s="114" t="s">
        <v>453</v>
      </c>
      <c r="D120" s="114" t="s">
        <v>460</v>
      </c>
      <c r="E120" s="119" t="s">
        <v>455</v>
      </c>
      <c r="F120" s="116" t="s">
        <v>244</v>
      </c>
      <c r="G120" s="117"/>
    </row>
    <row r="121" spans="1:7" x14ac:dyDescent="0.35">
      <c r="A121" s="71" t="s">
        <v>348</v>
      </c>
      <c r="B121" s="71" t="s">
        <v>143</v>
      </c>
      <c r="C121" s="114" t="s">
        <v>453</v>
      </c>
      <c r="D121" s="114" t="s">
        <v>461</v>
      </c>
      <c r="E121" s="119" t="s">
        <v>462</v>
      </c>
      <c r="F121" s="116" t="s">
        <v>244</v>
      </c>
      <c r="G121" s="117"/>
    </row>
    <row r="122" spans="1:7" x14ac:dyDescent="0.35">
      <c r="A122" s="71" t="s">
        <v>346</v>
      </c>
      <c r="B122" s="71" t="s">
        <v>143</v>
      </c>
      <c r="C122" s="114" t="s">
        <v>463</v>
      </c>
      <c r="D122" s="114" t="s">
        <v>464</v>
      </c>
      <c r="E122" s="119" t="s">
        <v>269</v>
      </c>
      <c r="F122" s="116" t="s">
        <v>244</v>
      </c>
      <c r="G122" s="117"/>
    </row>
    <row r="123" spans="1:7" x14ac:dyDescent="0.35">
      <c r="A123" s="71" t="s">
        <v>340</v>
      </c>
      <c r="B123" s="71" t="s">
        <v>144</v>
      </c>
      <c r="C123" s="114" t="s">
        <v>465</v>
      </c>
      <c r="D123" s="114" t="s">
        <v>466</v>
      </c>
      <c r="E123" s="119" t="s">
        <v>467</v>
      </c>
      <c r="F123" s="116" t="s">
        <v>244</v>
      </c>
      <c r="G123" s="117"/>
    </row>
    <row r="124" spans="1:7" x14ac:dyDescent="0.35">
      <c r="A124" s="71" t="s">
        <v>445</v>
      </c>
      <c r="B124" s="71" t="s">
        <v>146</v>
      </c>
      <c r="C124" s="114" t="s">
        <v>468</v>
      </c>
      <c r="D124" s="114" t="s">
        <v>469</v>
      </c>
      <c r="E124" s="119" t="s">
        <v>470</v>
      </c>
      <c r="F124" s="116" t="s">
        <v>244</v>
      </c>
      <c r="G124" s="117"/>
    </row>
    <row r="125" spans="1:7" x14ac:dyDescent="0.35">
      <c r="A125" s="71" t="s">
        <v>372</v>
      </c>
      <c r="B125" s="71" t="s">
        <v>144</v>
      </c>
      <c r="C125" s="114" t="s">
        <v>471</v>
      </c>
      <c r="D125" s="114" t="s">
        <v>472</v>
      </c>
      <c r="E125" s="119" t="s">
        <v>281</v>
      </c>
      <c r="F125" s="116" t="s">
        <v>244</v>
      </c>
      <c r="G125" s="117"/>
    </row>
    <row r="126" spans="1:7" x14ac:dyDescent="0.35">
      <c r="A126" s="71" t="s">
        <v>320</v>
      </c>
      <c r="B126" s="71" t="s">
        <v>149</v>
      </c>
      <c r="C126" s="114" t="s">
        <v>473</v>
      </c>
      <c r="D126" s="114" t="s">
        <v>474</v>
      </c>
      <c r="E126" s="119" t="s">
        <v>455</v>
      </c>
      <c r="F126" s="116" t="s">
        <v>244</v>
      </c>
      <c r="G126" s="117"/>
    </row>
    <row r="127" spans="1:7" x14ac:dyDescent="0.35">
      <c r="A127" s="71" t="s">
        <v>320</v>
      </c>
      <c r="B127" s="71" t="s">
        <v>149</v>
      </c>
      <c r="C127" s="114" t="s">
        <v>473</v>
      </c>
      <c r="D127" s="114" t="s">
        <v>475</v>
      </c>
      <c r="E127" s="119" t="s">
        <v>476</v>
      </c>
      <c r="F127" s="116" t="s">
        <v>244</v>
      </c>
      <c r="G127" s="117"/>
    </row>
    <row r="128" spans="1:7" x14ac:dyDescent="0.35">
      <c r="A128" s="71" t="s">
        <v>340</v>
      </c>
      <c r="B128" s="71" t="s">
        <v>144</v>
      </c>
      <c r="C128" s="114" t="s">
        <v>477</v>
      </c>
      <c r="D128" s="114" t="s">
        <v>478</v>
      </c>
      <c r="E128" s="119" t="s">
        <v>476</v>
      </c>
      <c r="F128" s="116" t="s">
        <v>244</v>
      </c>
      <c r="G128" s="117"/>
    </row>
    <row r="129" spans="1:8" x14ac:dyDescent="0.35">
      <c r="A129" s="71" t="s">
        <v>333</v>
      </c>
      <c r="B129" s="71" t="s">
        <v>144</v>
      </c>
      <c r="C129" s="114" t="s">
        <v>479</v>
      </c>
      <c r="D129" s="114" t="s">
        <v>480</v>
      </c>
      <c r="E129" s="119" t="s">
        <v>481</v>
      </c>
      <c r="F129" s="116" t="s">
        <v>244</v>
      </c>
      <c r="G129" s="117"/>
    </row>
    <row r="130" spans="1:8" x14ac:dyDescent="0.35">
      <c r="A130" s="71" t="s">
        <v>340</v>
      </c>
      <c r="B130" s="71" t="s">
        <v>144</v>
      </c>
      <c r="C130" s="114" t="s">
        <v>482</v>
      </c>
      <c r="D130" s="114" t="s">
        <v>483</v>
      </c>
      <c r="E130" s="119" t="s">
        <v>467</v>
      </c>
      <c r="F130" s="116" t="s">
        <v>244</v>
      </c>
      <c r="G130" s="117"/>
    </row>
    <row r="131" spans="1:8" x14ac:dyDescent="0.35">
      <c r="A131" s="71" t="s">
        <v>340</v>
      </c>
      <c r="B131" s="71" t="s">
        <v>144</v>
      </c>
      <c r="C131" s="114" t="s">
        <v>292</v>
      </c>
      <c r="D131" s="114" t="s">
        <v>484</v>
      </c>
      <c r="E131" s="119" t="s">
        <v>432</v>
      </c>
      <c r="F131" s="116" t="s">
        <v>244</v>
      </c>
      <c r="G131" s="117"/>
    </row>
    <row r="132" spans="1:8" x14ac:dyDescent="0.35">
      <c r="A132" s="71" t="s">
        <v>340</v>
      </c>
      <c r="B132" s="71" t="s">
        <v>144</v>
      </c>
      <c r="C132" s="114" t="s">
        <v>292</v>
      </c>
      <c r="D132" s="114" t="s">
        <v>485</v>
      </c>
      <c r="E132" s="119" t="s">
        <v>432</v>
      </c>
      <c r="F132" s="116" t="s">
        <v>244</v>
      </c>
      <c r="G132" s="117"/>
    </row>
    <row r="133" spans="1:8" x14ac:dyDescent="0.35">
      <c r="A133" s="71" t="s">
        <v>340</v>
      </c>
      <c r="B133" s="71" t="s">
        <v>144</v>
      </c>
      <c r="C133" s="114" t="s">
        <v>292</v>
      </c>
      <c r="D133" s="114" t="s">
        <v>486</v>
      </c>
      <c r="E133" s="119" t="s">
        <v>285</v>
      </c>
      <c r="F133" s="116" t="s">
        <v>244</v>
      </c>
      <c r="G133" s="117"/>
    </row>
    <row r="134" spans="1:8" x14ac:dyDescent="0.35">
      <c r="A134" s="71" t="s">
        <v>445</v>
      </c>
      <c r="B134" s="71" t="s">
        <v>144</v>
      </c>
      <c r="C134" s="114" t="s">
        <v>487</v>
      </c>
      <c r="D134" s="114" t="s">
        <v>488</v>
      </c>
      <c r="E134" s="119" t="s">
        <v>489</v>
      </c>
      <c r="F134" s="116" t="s">
        <v>244</v>
      </c>
      <c r="G134" s="117"/>
    </row>
    <row r="135" spans="1:8" x14ac:dyDescent="0.35">
      <c r="A135" s="71" t="s">
        <v>333</v>
      </c>
      <c r="B135" s="71" t="s">
        <v>144</v>
      </c>
      <c r="C135" s="114" t="s">
        <v>487</v>
      </c>
      <c r="D135" s="114" t="s">
        <v>490</v>
      </c>
      <c r="E135" s="119" t="s">
        <v>491</v>
      </c>
      <c r="F135" s="116" t="s">
        <v>244</v>
      </c>
      <c r="G135" s="117"/>
    </row>
    <row r="136" spans="1:8" x14ac:dyDescent="0.35">
      <c r="A136" s="71" t="s">
        <v>492</v>
      </c>
      <c r="B136" s="71" t="s">
        <v>144</v>
      </c>
      <c r="C136" s="114" t="s">
        <v>487</v>
      </c>
      <c r="D136" s="114" t="s">
        <v>493</v>
      </c>
      <c r="E136" s="119" t="s">
        <v>494</v>
      </c>
      <c r="F136" s="116" t="s">
        <v>244</v>
      </c>
      <c r="G136" s="117"/>
      <c r="H136" s="132"/>
    </row>
    <row r="137" spans="1:8" x14ac:dyDescent="0.35">
      <c r="A137" s="71" t="s">
        <v>346</v>
      </c>
      <c r="B137" s="71" t="s">
        <v>144</v>
      </c>
      <c r="C137" s="114" t="s">
        <v>487</v>
      </c>
      <c r="D137" s="114" t="s">
        <v>495</v>
      </c>
      <c r="E137" s="119" t="s">
        <v>496</v>
      </c>
      <c r="F137" s="116" t="s">
        <v>244</v>
      </c>
      <c r="G137" s="117"/>
    </row>
    <row r="138" spans="1:8" x14ac:dyDescent="0.35">
      <c r="A138" s="71" t="s">
        <v>492</v>
      </c>
      <c r="B138" s="71" t="s">
        <v>144</v>
      </c>
      <c r="C138" s="114" t="s">
        <v>487</v>
      </c>
      <c r="D138" s="114" t="s">
        <v>497</v>
      </c>
      <c r="E138" s="119" t="s">
        <v>498</v>
      </c>
      <c r="F138" s="116" t="s">
        <v>244</v>
      </c>
      <c r="G138" s="117"/>
    </row>
    <row r="139" spans="1:8" x14ac:dyDescent="0.35">
      <c r="A139" s="71" t="s">
        <v>340</v>
      </c>
      <c r="B139" s="71" t="s">
        <v>144</v>
      </c>
      <c r="C139" s="114" t="s">
        <v>487</v>
      </c>
      <c r="D139" s="114" t="s">
        <v>499</v>
      </c>
      <c r="E139" s="119" t="s">
        <v>500</v>
      </c>
      <c r="F139" s="116" t="s">
        <v>244</v>
      </c>
      <c r="G139" s="117"/>
    </row>
    <row r="140" spans="1:8" x14ac:dyDescent="0.35">
      <c r="A140" s="71" t="s">
        <v>333</v>
      </c>
      <c r="B140" s="71" t="s">
        <v>144</v>
      </c>
      <c r="C140" s="114" t="s">
        <v>487</v>
      </c>
      <c r="D140" s="114" t="s">
        <v>501</v>
      </c>
      <c r="E140" s="119" t="s">
        <v>502</v>
      </c>
      <c r="F140" s="116" t="s">
        <v>244</v>
      </c>
      <c r="G140" s="117"/>
    </row>
    <row r="141" spans="1:8" x14ac:dyDescent="0.35">
      <c r="A141" s="71" t="s">
        <v>333</v>
      </c>
      <c r="B141" s="71" t="s">
        <v>144</v>
      </c>
      <c r="C141" s="114" t="s">
        <v>487</v>
      </c>
      <c r="D141" s="114" t="s">
        <v>503</v>
      </c>
      <c r="E141" s="119" t="s">
        <v>504</v>
      </c>
      <c r="F141" s="116" t="s">
        <v>244</v>
      </c>
      <c r="G141" s="117"/>
    </row>
    <row r="142" spans="1:8" x14ac:dyDescent="0.35">
      <c r="A142" s="71" t="s">
        <v>340</v>
      </c>
      <c r="B142" s="71" t="s">
        <v>144</v>
      </c>
      <c r="C142" s="114" t="s">
        <v>487</v>
      </c>
      <c r="D142" s="114" t="s">
        <v>505</v>
      </c>
      <c r="E142" s="119" t="s">
        <v>476</v>
      </c>
      <c r="F142" s="116" t="s">
        <v>244</v>
      </c>
      <c r="G142" s="117"/>
    </row>
    <row r="143" spans="1:8" x14ac:dyDescent="0.35">
      <c r="A143" s="71" t="s">
        <v>402</v>
      </c>
      <c r="B143" s="71" t="s">
        <v>144</v>
      </c>
      <c r="C143" s="114" t="s">
        <v>487</v>
      </c>
      <c r="D143" s="114" t="s">
        <v>506</v>
      </c>
      <c r="E143" s="119" t="s">
        <v>507</v>
      </c>
      <c r="F143" s="116" t="s">
        <v>244</v>
      </c>
      <c r="G143" s="117"/>
    </row>
    <row r="144" spans="1:8" x14ac:dyDescent="0.35">
      <c r="A144" s="71" t="s">
        <v>333</v>
      </c>
      <c r="B144" s="71" t="s">
        <v>144</v>
      </c>
      <c r="C144" s="114" t="s">
        <v>487</v>
      </c>
      <c r="D144" s="114" t="s">
        <v>508</v>
      </c>
      <c r="E144" s="119" t="s">
        <v>509</v>
      </c>
      <c r="F144" s="116" t="s">
        <v>244</v>
      </c>
      <c r="G144" s="117"/>
    </row>
    <row r="145" spans="1:7" x14ac:dyDescent="0.35">
      <c r="A145" s="71" t="s">
        <v>340</v>
      </c>
      <c r="B145" s="71" t="s">
        <v>144</v>
      </c>
      <c r="C145" s="114" t="s">
        <v>510</v>
      </c>
      <c r="D145" s="114" t="s">
        <v>511</v>
      </c>
      <c r="E145" s="119" t="s">
        <v>512</v>
      </c>
      <c r="F145" s="116" t="s">
        <v>244</v>
      </c>
      <c r="G145" s="117"/>
    </row>
    <row r="146" spans="1:7" x14ac:dyDescent="0.35">
      <c r="A146" s="71" t="s">
        <v>492</v>
      </c>
      <c r="B146" s="71" t="s">
        <v>144</v>
      </c>
      <c r="C146" s="114" t="s">
        <v>513</v>
      </c>
      <c r="D146" s="114" t="s">
        <v>514</v>
      </c>
      <c r="E146" s="119" t="s">
        <v>281</v>
      </c>
      <c r="F146" s="116" t="s">
        <v>244</v>
      </c>
      <c r="G146" s="117"/>
    </row>
    <row r="147" spans="1:7" x14ac:dyDescent="0.35">
      <c r="A147" s="71" t="s">
        <v>515</v>
      </c>
      <c r="B147" s="71" t="s">
        <v>150</v>
      </c>
      <c r="C147" s="114" t="s">
        <v>516</v>
      </c>
      <c r="D147" s="114" t="s">
        <v>517</v>
      </c>
      <c r="E147" s="119" t="s">
        <v>518</v>
      </c>
      <c r="F147" s="116" t="s">
        <v>244</v>
      </c>
      <c r="G147" s="117"/>
    </row>
    <row r="148" spans="1:7" x14ac:dyDescent="0.35">
      <c r="A148" s="71" t="s">
        <v>515</v>
      </c>
      <c r="B148" s="71" t="s">
        <v>150</v>
      </c>
      <c r="C148" s="114" t="s">
        <v>516</v>
      </c>
      <c r="D148" s="114" t="s">
        <v>519</v>
      </c>
      <c r="E148" s="119" t="s">
        <v>518</v>
      </c>
      <c r="F148" s="116" t="s">
        <v>244</v>
      </c>
      <c r="G148" s="117"/>
    </row>
    <row r="149" spans="1:7" x14ac:dyDescent="0.35">
      <c r="A149" s="71" t="s">
        <v>515</v>
      </c>
      <c r="B149" s="71" t="s">
        <v>150</v>
      </c>
      <c r="C149" s="114" t="s">
        <v>516</v>
      </c>
      <c r="D149" s="114" t="s">
        <v>520</v>
      </c>
      <c r="E149" s="119" t="s">
        <v>518</v>
      </c>
      <c r="F149" s="116" t="s">
        <v>244</v>
      </c>
      <c r="G149" s="117"/>
    </row>
    <row r="150" spans="1:7" x14ac:dyDescent="0.35">
      <c r="A150" s="71" t="s">
        <v>492</v>
      </c>
      <c r="B150" s="71" t="s">
        <v>146</v>
      </c>
      <c r="C150" s="114" t="s">
        <v>521</v>
      </c>
      <c r="D150" s="114" t="s">
        <v>522</v>
      </c>
      <c r="E150" s="119" t="s">
        <v>523</v>
      </c>
      <c r="F150" s="116" t="s">
        <v>244</v>
      </c>
      <c r="G150" s="117"/>
    </row>
    <row r="151" spans="1:7" x14ac:dyDescent="0.35">
      <c r="A151" s="71" t="s">
        <v>524</v>
      </c>
      <c r="B151" s="71" t="s">
        <v>147</v>
      </c>
      <c r="C151" s="114" t="s">
        <v>525</v>
      </c>
      <c r="D151" s="114" t="s">
        <v>526</v>
      </c>
      <c r="E151" s="119" t="s">
        <v>527</v>
      </c>
      <c r="F151" s="116" t="s">
        <v>244</v>
      </c>
      <c r="G151" s="117" t="s">
        <v>528</v>
      </c>
    </row>
    <row r="152" spans="1:7" x14ac:dyDescent="0.35">
      <c r="A152" s="71" t="s">
        <v>524</v>
      </c>
      <c r="B152" s="71" t="s">
        <v>147</v>
      </c>
      <c r="C152" s="114" t="s">
        <v>525</v>
      </c>
      <c r="D152" s="114" t="s">
        <v>529</v>
      </c>
      <c r="E152" s="119" t="s">
        <v>530</v>
      </c>
      <c r="F152" s="116" t="s">
        <v>244</v>
      </c>
      <c r="G152" s="117"/>
    </row>
    <row r="153" spans="1:7" x14ac:dyDescent="0.35">
      <c r="A153" s="71" t="s">
        <v>340</v>
      </c>
      <c r="B153" s="71" t="s">
        <v>144</v>
      </c>
      <c r="C153" s="114" t="s">
        <v>531</v>
      </c>
      <c r="D153" s="114" t="s">
        <v>532</v>
      </c>
      <c r="E153" s="119" t="s">
        <v>533</v>
      </c>
      <c r="F153" s="116" t="s">
        <v>244</v>
      </c>
      <c r="G153" s="117"/>
    </row>
    <row r="154" spans="1:7" x14ac:dyDescent="0.35">
      <c r="A154" s="71" t="s">
        <v>372</v>
      </c>
      <c r="B154" s="71" t="s">
        <v>144</v>
      </c>
      <c r="C154" s="114" t="s">
        <v>531</v>
      </c>
      <c r="D154" s="114" t="s">
        <v>534</v>
      </c>
      <c r="E154" s="119" t="s">
        <v>535</v>
      </c>
      <c r="F154" s="116" t="s">
        <v>244</v>
      </c>
      <c r="G154" s="117"/>
    </row>
    <row r="155" spans="1:7" x14ac:dyDescent="0.35">
      <c r="A155" s="71" t="s">
        <v>492</v>
      </c>
      <c r="B155" s="71" t="s">
        <v>144</v>
      </c>
      <c r="C155" s="114" t="s">
        <v>531</v>
      </c>
      <c r="D155" s="114" t="s">
        <v>536</v>
      </c>
      <c r="E155" s="119" t="s">
        <v>537</v>
      </c>
      <c r="F155" s="116" t="s">
        <v>244</v>
      </c>
      <c r="G155" s="117"/>
    </row>
    <row r="156" spans="1:7" x14ac:dyDescent="0.35">
      <c r="A156" s="71" t="s">
        <v>346</v>
      </c>
      <c r="B156" s="71" t="s">
        <v>143</v>
      </c>
      <c r="C156" s="114" t="s">
        <v>256</v>
      </c>
      <c r="D156" s="114" t="s">
        <v>538</v>
      </c>
      <c r="E156" s="119" t="s">
        <v>539</v>
      </c>
      <c r="F156" s="116" t="s">
        <v>244</v>
      </c>
      <c r="G156" s="117"/>
    </row>
    <row r="157" spans="1:7" x14ac:dyDescent="0.35">
      <c r="A157" s="71" t="s">
        <v>346</v>
      </c>
      <c r="B157" s="71" t="s">
        <v>143</v>
      </c>
      <c r="C157" s="114" t="s">
        <v>256</v>
      </c>
      <c r="D157" s="114" t="s">
        <v>540</v>
      </c>
      <c r="E157" s="119" t="s">
        <v>541</v>
      </c>
      <c r="F157" s="116" t="s">
        <v>244</v>
      </c>
      <c r="G157" s="117"/>
    </row>
    <row r="158" spans="1:7" x14ac:dyDescent="0.35">
      <c r="A158" s="71" t="s">
        <v>346</v>
      </c>
      <c r="B158" s="71" t="s">
        <v>144</v>
      </c>
      <c r="C158" s="114" t="s">
        <v>256</v>
      </c>
      <c r="D158" s="114" t="s">
        <v>542</v>
      </c>
      <c r="E158" s="119" t="s">
        <v>543</v>
      </c>
      <c r="F158" s="116" t="s">
        <v>244</v>
      </c>
      <c r="G158" s="117"/>
    </row>
    <row r="159" spans="1:7" x14ac:dyDescent="0.35">
      <c r="A159" s="71" t="s">
        <v>346</v>
      </c>
      <c r="B159" s="71" t="s">
        <v>143</v>
      </c>
      <c r="C159" s="114" t="s">
        <v>256</v>
      </c>
      <c r="D159" s="114" t="s">
        <v>544</v>
      </c>
      <c r="E159" s="119" t="s">
        <v>545</v>
      </c>
      <c r="F159" s="116" t="s">
        <v>244</v>
      </c>
      <c r="G159" s="117" t="s">
        <v>375</v>
      </c>
    </row>
    <row r="160" spans="1:7" x14ac:dyDescent="0.35">
      <c r="A160" s="71" t="s">
        <v>346</v>
      </c>
      <c r="B160" s="71" t="s">
        <v>145</v>
      </c>
      <c r="C160" s="114" t="s">
        <v>256</v>
      </c>
      <c r="D160" s="114" t="s">
        <v>546</v>
      </c>
      <c r="E160" s="119" t="s">
        <v>547</v>
      </c>
      <c r="F160" s="116" t="s">
        <v>244</v>
      </c>
      <c r="G160" s="117"/>
    </row>
    <row r="161" spans="1:7" x14ac:dyDescent="0.35">
      <c r="A161" s="71" t="s">
        <v>346</v>
      </c>
      <c r="B161" s="71" t="s">
        <v>143</v>
      </c>
      <c r="C161" s="114" t="s">
        <v>256</v>
      </c>
      <c r="D161" s="114" t="s">
        <v>548</v>
      </c>
      <c r="E161" s="119" t="s">
        <v>549</v>
      </c>
      <c r="F161" s="116" t="s">
        <v>244</v>
      </c>
      <c r="G161" s="117" t="s">
        <v>375</v>
      </c>
    </row>
    <row r="162" spans="1:7" x14ac:dyDescent="0.35">
      <c r="A162" s="71" t="s">
        <v>346</v>
      </c>
      <c r="B162" s="71" t="s">
        <v>143</v>
      </c>
      <c r="C162" s="114" t="s">
        <v>256</v>
      </c>
      <c r="D162" s="114" t="s">
        <v>550</v>
      </c>
      <c r="E162" s="119" t="s">
        <v>323</v>
      </c>
      <c r="F162" s="116" t="s">
        <v>244</v>
      </c>
      <c r="G162" s="117" t="s">
        <v>375</v>
      </c>
    </row>
    <row r="163" spans="1:7" x14ac:dyDescent="0.35">
      <c r="A163" s="71" t="s">
        <v>551</v>
      </c>
      <c r="B163" s="71" t="s">
        <v>149</v>
      </c>
      <c r="C163" s="114" t="s">
        <v>552</v>
      </c>
      <c r="D163" s="114" t="s">
        <v>553</v>
      </c>
      <c r="E163" s="119" t="s">
        <v>476</v>
      </c>
      <c r="F163" s="116" t="s">
        <v>244</v>
      </c>
      <c r="G163" s="117"/>
    </row>
    <row r="164" spans="1:7" x14ac:dyDescent="0.35">
      <c r="A164" s="125" t="s">
        <v>554</v>
      </c>
      <c r="B164" s="126" t="s">
        <v>306</v>
      </c>
      <c r="C164" s="127" t="s">
        <v>307</v>
      </c>
      <c r="D164" s="127" t="s">
        <v>555</v>
      </c>
      <c r="E164" s="128" t="s">
        <v>556</v>
      </c>
      <c r="F164" s="129" t="s">
        <v>244</v>
      </c>
      <c r="G164" s="130" t="s">
        <v>557</v>
      </c>
    </row>
    <row r="165" spans="1:7" x14ac:dyDescent="0.35">
      <c r="A165" s="125" t="s">
        <v>305</v>
      </c>
      <c r="B165" s="126" t="s">
        <v>306</v>
      </c>
      <c r="C165" s="127" t="s">
        <v>307</v>
      </c>
      <c r="D165" s="127" t="s">
        <v>558</v>
      </c>
      <c r="E165" s="128" t="s">
        <v>397</v>
      </c>
      <c r="F165" s="129" t="s">
        <v>244</v>
      </c>
      <c r="G165" s="130" t="s">
        <v>557</v>
      </c>
    </row>
    <row r="166" spans="1:7" x14ac:dyDescent="0.35">
      <c r="A166" s="71" t="s">
        <v>559</v>
      </c>
      <c r="B166" s="71" t="s">
        <v>144</v>
      </c>
      <c r="C166" s="114" t="s">
        <v>560</v>
      </c>
      <c r="D166" s="114" t="s">
        <v>561</v>
      </c>
      <c r="E166" s="119" t="s">
        <v>562</v>
      </c>
      <c r="F166" s="116" t="s">
        <v>244</v>
      </c>
      <c r="G166" s="117"/>
    </row>
    <row r="167" spans="1:7" x14ac:dyDescent="0.35">
      <c r="A167" s="71" t="s">
        <v>559</v>
      </c>
      <c r="B167" s="71" t="s">
        <v>145</v>
      </c>
      <c r="C167" s="114" t="s">
        <v>560</v>
      </c>
      <c r="D167" s="114" t="s">
        <v>563</v>
      </c>
      <c r="E167" s="119" t="s">
        <v>564</v>
      </c>
      <c r="F167" s="116" t="s">
        <v>244</v>
      </c>
      <c r="G167" s="117"/>
    </row>
    <row r="168" spans="1:7" x14ac:dyDescent="0.35">
      <c r="A168" s="71" t="s">
        <v>565</v>
      </c>
      <c r="B168" s="71" t="s">
        <v>144</v>
      </c>
      <c r="C168" s="114" t="s">
        <v>560</v>
      </c>
      <c r="D168" s="114" t="s">
        <v>566</v>
      </c>
      <c r="E168" s="119" t="s">
        <v>562</v>
      </c>
      <c r="F168" s="116" t="s">
        <v>244</v>
      </c>
      <c r="G168" s="117"/>
    </row>
    <row r="169" spans="1:7" x14ac:dyDescent="0.35">
      <c r="A169" s="71" t="s">
        <v>492</v>
      </c>
      <c r="B169" s="71" t="s">
        <v>144</v>
      </c>
      <c r="C169" s="114" t="s">
        <v>560</v>
      </c>
      <c r="D169" s="114" t="s">
        <v>567</v>
      </c>
      <c r="E169" s="119" t="s">
        <v>562</v>
      </c>
      <c r="F169" s="116" t="s">
        <v>244</v>
      </c>
      <c r="G169" s="117" t="s">
        <v>375</v>
      </c>
    </row>
    <row r="170" spans="1:7" x14ac:dyDescent="0.35">
      <c r="A170" s="71" t="s">
        <v>568</v>
      </c>
      <c r="B170" s="71" t="s">
        <v>144</v>
      </c>
      <c r="C170" s="114" t="s">
        <v>560</v>
      </c>
      <c r="D170" s="114" t="s">
        <v>569</v>
      </c>
      <c r="E170" s="119" t="s">
        <v>570</v>
      </c>
      <c r="F170" s="116" t="s">
        <v>244</v>
      </c>
      <c r="G170" s="117"/>
    </row>
    <row r="171" spans="1:7" x14ac:dyDescent="0.35">
      <c r="A171" s="71" t="s">
        <v>571</v>
      </c>
      <c r="B171" s="71" t="s">
        <v>144</v>
      </c>
      <c r="C171" s="114" t="s">
        <v>560</v>
      </c>
      <c r="D171" s="114" t="s">
        <v>572</v>
      </c>
      <c r="E171" s="119" t="s">
        <v>573</v>
      </c>
      <c r="F171" s="116" t="s">
        <v>244</v>
      </c>
      <c r="G171" s="117"/>
    </row>
    <row r="172" spans="1:7" x14ac:dyDescent="0.35">
      <c r="A172" s="71" t="s">
        <v>568</v>
      </c>
      <c r="B172" s="71" t="s">
        <v>144</v>
      </c>
      <c r="C172" s="114" t="s">
        <v>560</v>
      </c>
      <c r="D172" s="114" t="s">
        <v>574</v>
      </c>
      <c r="E172" s="119" t="s">
        <v>573</v>
      </c>
      <c r="F172" s="116" t="s">
        <v>244</v>
      </c>
      <c r="G172" s="117"/>
    </row>
    <row r="173" spans="1:7" x14ac:dyDescent="0.35">
      <c r="A173" s="71" t="s">
        <v>575</v>
      </c>
      <c r="B173" s="71" t="s">
        <v>144</v>
      </c>
      <c r="C173" s="114" t="s">
        <v>560</v>
      </c>
      <c r="D173" s="114" t="s">
        <v>576</v>
      </c>
      <c r="E173" s="119" t="s">
        <v>577</v>
      </c>
      <c r="F173" s="116" t="s">
        <v>244</v>
      </c>
      <c r="G173" s="117"/>
    </row>
    <row r="174" spans="1:7" x14ac:dyDescent="0.35">
      <c r="A174" s="71" t="s">
        <v>575</v>
      </c>
      <c r="B174" s="71" t="s">
        <v>146</v>
      </c>
      <c r="C174" s="114" t="s">
        <v>560</v>
      </c>
      <c r="D174" s="114" t="s">
        <v>578</v>
      </c>
      <c r="E174" s="119" t="s">
        <v>570</v>
      </c>
      <c r="F174" s="116" t="s">
        <v>244</v>
      </c>
      <c r="G174" s="117"/>
    </row>
    <row r="175" spans="1:7" x14ac:dyDescent="0.35">
      <c r="A175" s="71" t="s">
        <v>568</v>
      </c>
      <c r="B175" s="71" t="s">
        <v>144</v>
      </c>
      <c r="C175" s="114" t="s">
        <v>560</v>
      </c>
      <c r="D175" s="114" t="s">
        <v>579</v>
      </c>
      <c r="E175" s="119" t="s">
        <v>580</v>
      </c>
      <c r="F175" s="116" t="s">
        <v>244</v>
      </c>
      <c r="G175" s="117"/>
    </row>
    <row r="176" spans="1:7" x14ac:dyDescent="0.35">
      <c r="A176" s="71" t="s">
        <v>568</v>
      </c>
      <c r="B176" s="71" t="s">
        <v>146</v>
      </c>
      <c r="C176" s="114" t="s">
        <v>560</v>
      </c>
      <c r="D176" s="114" t="s">
        <v>581</v>
      </c>
      <c r="E176" s="119" t="s">
        <v>573</v>
      </c>
      <c r="F176" s="116" t="s">
        <v>244</v>
      </c>
      <c r="G176" s="117"/>
    </row>
    <row r="177" spans="1:7" x14ac:dyDescent="0.35">
      <c r="A177" s="71" t="s">
        <v>582</v>
      </c>
      <c r="B177" s="71" t="s">
        <v>144</v>
      </c>
      <c r="C177" s="114" t="s">
        <v>560</v>
      </c>
      <c r="D177" s="114" t="s">
        <v>583</v>
      </c>
      <c r="E177" s="119" t="s">
        <v>580</v>
      </c>
      <c r="F177" s="116" t="s">
        <v>244</v>
      </c>
      <c r="G177" s="117"/>
    </row>
    <row r="178" spans="1:7" x14ac:dyDescent="0.35">
      <c r="A178" s="71" t="s">
        <v>584</v>
      </c>
      <c r="B178" s="71" t="s">
        <v>147</v>
      </c>
      <c r="C178" s="114" t="s">
        <v>560</v>
      </c>
      <c r="D178" s="114" t="s">
        <v>585</v>
      </c>
      <c r="E178" s="119" t="s">
        <v>573</v>
      </c>
      <c r="F178" s="116" t="s">
        <v>244</v>
      </c>
      <c r="G178" s="117"/>
    </row>
    <row r="179" spans="1:7" x14ac:dyDescent="0.35">
      <c r="A179" s="71" t="s">
        <v>586</v>
      </c>
      <c r="B179" s="71" t="s">
        <v>144</v>
      </c>
      <c r="C179" s="114" t="s">
        <v>560</v>
      </c>
      <c r="D179" s="114" t="s">
        <v>587</v>
      </c>
      <c r="E179" s="119" t="s">
        <v>580</v>
      </c>
      <c r="F179" s="116" t="s">
        <v>244</v>
      </c>
      <c r="G179" s="117"/>
    </row>
    <row r="180" spans="1:7" x14ac:dyDescent="0.35">
      <c r="A180" s="71" t="s">
        <v>586</v>
      </c>
      <c r="B180" s="71" t="s">
        <v>147</v>
      </c>
      <c r="C180" s="114" t="s">
        <v>560</v>
      </c>
      <c r="D180" s="114" t="s">
        <v>588</v>
      </c>
      <c r="E180" s="119" t="s">
        <v>573</v>
      </c>
      <c r="F180" s="116" t="s">
        <v>244</v>
      </c>
      <c r="G180" s="117"/>
    </row>
    <row r="181" spans="1:7" x14ac:dyDescent="0.35">
      <c r="A181" s="71" t="s">
        <v>346</v>
      </c>
      <c r="B181" s="71" t="s">
        <v>143</v>
      </c>
      <c r="C181" s="114" t="s">
        <v>453</v>
      </c>
      <c r="D181" s="114" t="s">
        <v>589</v>
      </c>
      <c r="E181" s="119" t="s">
        <v>455</v>
      </c>
      <c r="F181" s="116" t="s">
        <v>244</v>
      </c>
      <c r="G181" s="117"/>
    </row>
    <row r="182" spans="1:7" x14ac:dyDescent="0.35">
      <c r="A182" s="71" t="s">
        <v>590</v>
      </c>
      <c r="B182" s="71" t="s">
        <v>143</v>
      </c>
      <c r="C182" s="114" t="s">
        <v>453</v>
      </c>
      <c r="D182" s="114" t="s">
        <v>591</v>
      </c>
      <c r="E182" s="119" t="s">
        <v>319</v>
      </c>
      <c r="F182" s="116" t="s">
        <v>244</v>
      </c>
      <c r="G182" s="117"/>
    </row>
    <row r="183" spans="1:7" x14ac:dyDescent="0.35">
      <c r="A183" s="71" t="s">
        <v>346</v>
      </c>
      <c r="B183" s="71" t="s">
        <v>143</v>
      </c>
      <c r="C183" s="114" t="s">
        <v>453</v>
      </c>
      <c r="D183" s="114" t="s">
        <v>592</v>
      </c>
      <c r="E183" s="119" t="s">
        <v>319</v>
      </c>
      <c r="F183" s="116" t="s">
        <v>244</v>
      </c>
      <c r="G183" s="117"/>
    </row>
    <row r="184" spans="1:7" x14ac:dyDescent="0.35">
      <c r="A184" s="71" t="s">
        <v>346</v>
      </c>
      <c r="B184" s="71" t="s">
        <v>144</v>
      </c>
      <c r="C184" s="114" t="s">
        <v>453</v>
      </c>
      <c r="D184" s="114" t="s">
        <v>593</v>
      </c>
      <c r="E184" s="119" t="s">
        <v>458</v>
      </c>
      <c r="F184" s="116" t="s">
        <v>244</v>
      </c>
      <c r="G184" s="117"/>
    </row>
    <row r="185" spans="1:7" x14ac:dyDescent="0.35">
      <c r="A185" s="71" t="s">
        <v>346</v>
      </c>
      <c r="B185" s="71" t="s">
        <v>143</v>
      </c>
      <c r="C185" s="114" t="s">
        <v>453</v>
      </c>
      <c r="D185" s="114" t="s">
        <v>594</v>
      </c>
      <c r="E185" s="119" t="s">
        <v>455</v>
      </c>
      <c r="F185" s="116" t="s">
        <v>244</v>
      </c>
      <c r="G185" s="117"/>
    </row>
    <row r="186" spans="1:7" x14ac:dyDescent="0.35">
      <c r="A186" s="71" t="s">
        <v>346</v>
      </c>
      <c r="B186" s="71" t="s">
        <v>143</v>
      </c>
      <c r="C186" s="114" t="s">
        <v>453</v>
      </c>
      <c r="D186" s="114" t="s">
        <v>595</v>
      </c>
      <c r="E186" s="119" t="s">
        <v>319</v>
      </c>
      <c r="F186" s="116" t="s">
        <v>244</v>
      </c>
      <c r="G186" s="117"/>
    </row>
    <row r="187" spans="1:7" x14ac:dyDescent="0.35">
      <c r="A187" s="71" t="s">
        <v>590</v>
      </c>
      <c r="B187" s="71" t="s">
        <v>143</v>
      </c>
      <c r="C187" s="114" t="s">
        <v>453</v>
      </c>
      <c r="D187" s="114" t="s">
        <v>596</v>
      </c>
      <c r="E187" s="119" t="s">
        <v>470</v>
      </c>
      <c r="F187" s="116" t="s">
        <v>244</v>
      </c>
      <c r="G187" s="117" t="s">
        <v>597</v>
      </c>
    </row>
    <row r="188" spans="1:7" x14ac:dyDescent="0.35">
      <c r="A188" s="71" t="s">
        <v>346</v>
      </c>
      <c r="B188" s="71" t="s">
        <v>143</v>
      </c>
      <c r="C188" s="114" t="s">
        <v>453</v>
      </c>
      <c r="D188" s="114" t="s">
        <v>598</v>
      </c>
      <c r="E188" s="119" t="s">
        <v>319</v>
      </c>
      <c r="F188" s="116" t="s">
        <v>244</v>
      </c>
      <c r="G188" s="117" t="s">
        <v>599</v>
      </c>
    </row>
    <row r="189" spans="1:7" x14ac:dyDescent="0.35">
      <c r="A189" s="71" t="s">
        <v>600</v>
      </c>
      <c r="B189" s="71" t="s">
        <v>149</v>
      </c>
      <c r="C189" s="114" t="s">
        <v>453</v>
      </c>
      <c r="D189" s="114" t="s">
        <v>601</v>
      </c>
      <c r="E189" s="119" t="s">
        <v>602</v>
      </c>
      <c r="F189" s="116" t="s">
        <v>244</v>
      </c>
      <c r="G189" s="117"/>
    </row>
    <row r="190" spans="1:7" x14ac:dyDescent="0.35">
      <c r="A190" s="71" t="s">
        <v>551</v>
      </c>
      <c r="B190" s="71" t="s">
        <v>149</v>
      </c>
      <c r="C190" s="114" t="s">
        <v>453</v>
      </c>
      <c r="D190" s="114" t="s">
        <v>603</v>
      </c>
      <c r="E190" s="119" t="s">
        <v>604</v>
      </c>
      <c r="F190" s="116" t="s">
        <v>244</v>
      </c>
      <c r="G190" s="117"/>
    </row>
    <row r="191" spans="1:7" x14ac:dyDescent="0.35">
      <c r="A191" s="71" t="s">
        <v>402</v>
      </c>
      <c r="B191" s="71" t="s">
        <v>151</v>
      </c>
      <c r="C191" s="114" t="s">
        <v>400</v>
      </c>
      <c r="D191" s="114" t="s">
        <v>605</v>
      </c>
      <c r="E191" s="119" t="s">
        <v>397</v>
      </c>
      <c r="F191" s="116" t="s">
        <v>244</v>
      </c>
      <c r="G191" s="117"/>
    </row>
    <row r="192" spans="1:7" x14ac:dyDescent="0.35">
      <c r="A192" s="71" t="s">
        <v>346</v>
      </c>
      <c r="B192" s="71" t="s">
        <v>145</v>
      </c>
      <c r="C192" s="114" t="s">
        <v>606</v>
      </c>
      <c r="D192" s="114" t="s">
        <v>607</v>
      </c>
      <c r="E192" s="119" t="s">
        <v>608</v>
      </c>
      <c r="F192" s="116" t="s">
        <v>244</v>
      </c>
      <c r="G192" s="117"/>
    </row>
    <row r="193" spans="1:7" x14ac:dyDescent="0.35">
      <c r="A193" s="71" t="s">
        <v>609</v>
      </c>
      <c r="B193" s="71" t="s">
        <v>151</v>
      </c>
      <c r="C193" s="114" t="s">
        <v>403</v>
      </c>
      <c r="D193" s="114" t="s">
        <v>610</v>
      </c>
      <c r="E193" s="119" t="s">
        <v>397</v>
      </c>
      <c r="F193" s="116" t="s">
        <v>244</v>
      </c>
      <c r="G193" s="117"/>
    </row>
    <row r="194" spans="1:7" x14ac:dyDescent="0.35">
      <c r="A194" s="71" t="s">
        <v>609</v>
      </c>
      <c r="B194" s="71" t="s">
        <v>151</v>
      </c>
      <c r="C194" s="114" t="s">
        <v>403</v>
      </c>
      <c r="D194" s="114" t="s">
        <v>611</v>
      </c>
      <c r="E194" s="119" t="s">
        <v>612</v>
      </c>
      <c r="F194" s="116" t="s">
        <v>244</v>
      </c>
      <c r="G194" s="117"/>
    </row>
    <row r="195" spans="1:7" x14ac:dyDescent="0.35">
      <c r="A195" s="71" t="s">
        <v>609</v>
      </c>
      <c r="B195" s="71" t="s">
        <v>151</v>
      </c>
      <c r="C195" s="114" t="s">
        <v>403</v>
      </c>
      <c r="D195" s="114" t="s">
        <v>613</v>
      </c>
      <c r="E195" s="119" t="s">
        <v>612</v>
      </c>
      <c r="F195" s="116" t="s">
        <v>244</v>
      </c>
      <c r="G195" s="117"/>
    </row>
    <row r="196" spans="1:7" x14ac:dyDescent="0.35">
      <c r="A196" s="71" t="s">
        <v>609</v>
      </c>
      <c r="B196" s="71" t="s">
        <v>151</v>
      </c>
      <c r="C196" s="114" t="s">
        <v>403</v>
      </c>
      <c r="D196" s="114" t="s">
        <v>614</v>
      </c>
      <c r="E196" s="119" t="s">
        <v>612</v>
      </c>
      <c r="F196" s="116" t="s">
        <v>244</v>
      </c>
      <c r="G196" s="117"/>
    </row>
    <row r="197" spans="1:7" x14ac:dyDescent="0.35">
      <c r="A197" s="71" t="s">
        <v>615</v>
      </c>
      <c r="B197" s="71" t="s">
        <v>149</v>
      </c>
      <c r="C197" s="114" t="s">
        <v>616</v>
      </c>
      <c r="D197" s="114" t="s">
        <v>617</v>
      </c>
      <c r="E197" s="119" t="s">
        <v>512</v>
      </c>
      <c r="F197" s="116" t="s">
        <v>244</v>
      </c>
      <c r="G197" s="117"/>
    </row>
    <row r="198" spans="1:7" x14ac:dyDescent="0.35">
      <c r="A198" s="71" t="s">
        <v>346</v>
      </c>
      <c r="B198" s="71" t="s">
        <v>143</v>
      </c>
      <c r="C198" s="114" t="s">
        <v>428</v>
      </c>
      <c r="D198" s="114" t="s">
        <v>618</v>
      </c>
      <c r="E198" s="119" t="s">
        <v>326</v>
      </c>
      <c r="F198" s="116" t="s">
        <v>244</v>
      </c>
      <c r="G198" s="117"/>
    </row>
    <row r="199" spans="1:7" x14ac:dyDescent="0.35">
      <c r="A199" s="71" t="s">
        <v>346</v>
      </c>
      <c r="B199" s="71" t="s">
        <v>143</v>
      </c>
      <c r="C199" s="114" t="s">
        <v>428</v>
      </c>
      <c r="D199" s="114" t="s">
        <v>619</v>
      </c>
      <c r="E199" s="119" t="s">
        <v>523</v>
      </c>
      <c r="F199" s="116" t="s">
        <v>244</v>
      </c>
      <c r="G199" s="117"/>
    </row>
    <row r="200" spans="1:7" x14ac:dyDescent="0.35">
      <c r="A200" s="71" t="s">
        <v>492</v>
      </c>
      <c r="B200" s="71" t="s">
        <v>144</v>
      </c>
      <c r="C200" s="114" t="s">
        <v>302</v>
      </c>
      <c r="D200" s="114" t="s">
        <v>620</v>
      </c>
      <c r="E200" s="119" t="s">
        <v>278</v>
      </c>
      <c r="F200" s="116" t="s">
        <v>244</v>
      </c>
      <c r="G200" s="117"/>
    </row>
    <row r="201" spans="1:7" x14ac:dyDescent="0.35">
      <c r="A201" s="71" t="s">
        <v>372</v>
      </c>
      <c r="B201" s="71" t="s">
        <v>144</v>
      </c>
      <c r="C201" s="114" t="s">
        <v>302</v>
      </c>
      <c r="D201" s="114" t="s">
        <v>621</v>
      </c>
      <c r="E201" s="119" t="s">
        <v>342</v>
      </c>
      <c r="F201" s="116" t="s">
        <v>244</v>
      </c>
      <c r="G201" s="117"/>
    </row>
    <row r="202" spans="1:7" x14ac:dyDescent="0.35">
      <c r="A202" s="71" t="s">
        <v>346</v>
      </c>
      <c r="B202" s="71" t="s">
        <v>143</v>
      </c>
      <c r="C202" s="114" t="s">
        <v>321</v>
      </c>
      <c r="D202" s="114" t="s">
        <v>622</v>
      </c>
      <c r="E202" s="119" t="s">
        <v>623</v>
      </c>
      <c r="F202" s="116" t="s">
        <v>244</v>
      </c>
      <c r="G202" s="117"/>
    </row>
    <row r="203" spans="1:7" x14ac:dyDescent="0.35">
      <c r="A203" s="71" t="s">
        <v>346</v>
      </c>
      <c r="B203" s="71" t="s">
        <v>143</v>
      </c>
      <c r="C203" s="114" t="s">
        <v>321</v>
      </c>
      <c r="D203" s="114" t="s">
        <v>624</v>
      </c>
      <c r="E203" s="119" t="s">
        <v>623</v>
      </c>
      <c r="F203" s="116" t="s">
        <v>244</v>
      </c>
      <c r="G203" s="117"/>
    </row>
    <row r="204" spans="1:7" x14ac:dyDescent="0.35">
      <c r="A204" s="71" t="s">
        <v>346</v>
      </c>
      <c r="B204" s="71" t="s">
        <v>143</v>
      </c>
      <c r="C204" s="114" t="s">
        <v>321</v>
      </c>
      <c r="D204" s="114" t="s">
        <v>625</v>
      </c>
      <c r="E204" s="119" t="s">
        <v>623</v>
      </c>
      <c r="F204" s="116" t="s">
        <v>244</v>
      </c>
      <c r="G204" s="117"/>
    </row>
    <row r="205" spans="1:7" x14ac:dyDescent="0.35">
      <c r="A205" s="71" t="s">
        <v>346</v>
      </c>
      <c r="B205" s="71" t="s">
        <v>143</v>
      </c>
      <c r="C205" s="114" t="s">
        <v>321</v>
      </c>
      <c r="D205" s="114" t="s">
        <v>626</v>
      </c>
      <c r="E205" s="119" t="s">
        <v>623</v>
      </c>
      <c r="F205" s="116" t="s">
        <v>244</v>
      </c>
      <c r="G205" s="117"/>
    </row>
    <row r="206" spans="1:7" x14ac:dyDescent="0.35">
      <c r="A206" s="71" t="s">
        <v>346</v>
      </c>
      <c r="B206" s="71" t="s">
        <v>145</v>
      </c>
      <c r="C206" s="114" t="s">
        <v>321</v>
      </c>
      <c r="D206" s="114" t="s">
        <v>627</v>
      </c>
      <c r="E206" s="119" t="s">
        <v>354</v>
      </c>
      <c r="F206" s="116" t="s">
        <v>244</v>
      </c>
      <c r="G206" s="117"/>
    </row>
    <row r="207" spans="1:7" x14ac:dyDescent="0.35">
      <c r="A207" s="71" t="s">
        <v>346</v>
      </c>
      <c r="B207" s="71" t="s">
        <v>143</v>
      </c>
      <c r="C207" s="114" t="s">
        <v>321</v>
      </c>
      <c r="D207" s="114" t="s">
        <v>628</v>
      </c>
      <c r="E207" s="119" t="s">
        <v>623</v>
      </c>
      <c r="F207" s="116" t="s">
        <v>244</v>
      </c>
      <c r="G207" s="117"/>
    </row>
    <row r="208" spans="1:7" x14ac:dyDescent="0.35">
      <c r="A208" s="71" t="s">
        <v>590</v>
      </c>
      <c r="B208" s="71" t="s">
        <v>145</v>
      </c>
      <c r="C208" s="114" t="s">
        <v>321</v>
      </c>
      <c r="D208" s="114" t="s">
        <v>629</v>
      </c>
      <c r="E208" s="119" t="s">
        <v>623</v>
      </c>
      <c r="F208" s="116" t="s">
        <v>244</v>
      </c>
      <c r="G208" s="117"/>
    </row>
    <row r="209" spans="1:7" x14ac:dyDescent="0.35">
      <c r="A209" s="71" t="s">
        <v>346</v>
      </c>
      <c r="B209" s="71" t="s">
        <v>145</v>
      </c>
      <c r="C209" s="114" t="s">
        <v>321</v>
      </c>
      <c r="D209" s="114" t="s">
        <v>630</v>
      </c>
      <c r="E209" s="119" t="s">
        <v>623</v>
      </c>
      <c r="F209" s="116" t="s">
        <v>244</v>
      </c>
      <c r="G209" s="117"/>
    </row>
    <row r="210" spans="1:7" x14ac:dyDescent="0.35">
      <c r="A210" s="71" t="s">
        <v>346</v>
      </c>
      <c r="B210" s="71" t="s">
        <v>145</v>
      </c>
      <c r="C210" s="114" t="s">
        <v>321</v>
      </c>
      <c r="D210" s="114" t="s">
        <v>631</v>
      </c>
      <c r="E210" s="119" t="s">
        <v>623</v>
      </c>
      <c r="F210" s="116" t="s">
        <v>244</v>
      </c>
      <c r="G210" s="117"/>
    </row>
    <row r="211" spans="1:7" x14ac:dyDescent="0.35">
      <c r="A211" s="71" t="s">
        <v>346</v>
      </c>
      <c r="B211" s="71" t="s">
        <v>143</v>
      </c>
      <c r="C211" s="114" t="s">
        <v>321</v>
      </c>
      <c r="D211" s="114" t="s">
        <v>632</v>
      </c>
      <c r="E211" s="119" t="s">
        <v>633</v>
      </c>
      <c r="F211" s="116" t="s">
        <v>244</v>
      </c>
      <c r="G211" s="117"/>
    </row>
    <row r="212" spans="1:7" x14ac:dyDescent="0.35">
      <c r="A212" s="71" t="s">
        <v>333</v>
      </c>
      <c r="B212" s="71" t="s">
        <v>144</v>
      </c>
      <c r="C212" s="114" t="s">
        <v>321</v>
      </c>
      <c r="D212" s="114" t="s">
        <v>634</v>
      </c>
      <c r="E212" s="119" t="s">
        <v>339</v>
      </c>
      <c r="F212" s="116" t="s">
        <v>244</v>
      </c>
      <c r="G212" s="117" t="s">
        <v>375</v>
      </c>
    </row>
    <row r="213" spans="1:7" x14ac:dyDescent="0.35">
      <c r="A213" s="71" t="s">
        <v>333</v>
      </c>
      <c r="B213" s="71" t="s">
        <v>144</v>
      </c>
      <c r="C213" s="114" t="s">
        <v>321</v>
      </c>
      <c r="D213" s="114" t="s">
        <v>635</v>
      </c>
      <c r="E213" s="119" t="s">
        <v>339</v>
      </c>
      <c r="F213" s="116" t="s">
        <v>244</v>
      </c>
      <c r="G213" s="117" t="s">
        <v>375</v>
      </c>
    </row>
    <row r="214" spans="1:7" x14ac:dyDescent="0.35">
      <c r="A214" s="71" t="s">
        <v>273</v>
      </c>
      <c r="B214" s="71" t="s">
        <v>144</v>
      </c>
      <c r="C214" s="114" t="s">
        <v>321</v>
      </c>
      <c r="D214" s="114" t="s">
        <v>636</v>
      </c>
      <c r="E214" s="119" t="s">
        <v>623</v>
      </c>
      <c r="F214" s="116" t="s">
        <v>244</v>
      </c>
      <c r="G214" s="117"/>
    </row>
    <row r="215" spans="1:7" x14ac:dyDescent="0.35">
      <c r="A215" s="71" t="s">
        <v>346</v>
      </c>
      <c r="B215" s="71" t="s">
        <v>143</v>
      </c>
      <c r="C215" s="114" t="s">
        <v>321</v>
      </c>
      <c r="D215" s="114" t="s">
        <v>637</v>
      </c>
      <c r="E215" s="119" t="s">
        <v>623</v>
      </c>
      <c r="F215" s="116" t="s">
        <v>244</v>
      </c>
      <c r="G215" s="117" t="s">
        <v>375</v>
      </c>
    </row>
    <row r="216" spans="1:7" x14ac:dyDescent="0.35">
      <c r="A216" s="71" t="s">
        <v>333</v>
      </c>
      <c r="B216" s="71" t="s">
        <v>144</v>
      </c>
      <c r="C216" s="114" t="s">
        <v>321</v>
      </c>
      <c r="D216" s="114" t="s">
        <v>638</v>
      </c>
      <c r="E216" s="119" t="s">
        <v>623</v>
      </c>
      <c r="F216" s="116" t="s">
        <v>244</v>
      </c>
      <c r="G216" s="117" t="s">
        <v>375</v>
      </c>
    </row>
    <row r="217" spans="1:7" x14ac:dyDescent="0.35">
      <c r="A217" s="71" t="s">
        <v>346</v>
      </c>
      <c r="B217" s="2" t="s">
        <v>143</v>
      </c>
      <c r="C217" s="114" t="s">
        <v>321</v>
      </c>
      <c r="D217" s="114" t="s">
        <v>639</v>
      </c>
      <c r="E217" s="119" t="s">
        <v>339</v>
      </c>
      <c r="F217" s="116" t="s">
        <v>244</v>
      </c>
      <c r="G217" s="117"/>
    </row>
    <row r="218" spans="1:7" x14ac:dyDescent="0.35">
      <c r="A218" s="71" t="s">
        <v>333</v>
      </c>
      <c r="B218" s="71" t="s">
        <v>144</v>
      </c>
      <c r="C218" s="114" t="s">
        <v>321</v>
      </c>
      <c r="D218" s="114" t="s">
        <v>640</v>
      </c>
      <c r="E218" s="119" t="s">
        <v>623</v>
      </c>
      <c r="F218" s="116" t="s">
        <v>244</v>
      </c>
      <c r="G218" s="117"/>
    </row>
    <row r="219" spans="1:7" x14ac:dyDescent="0.35">
      <c r="A219" s="71" t="s">
        <v>641</v>
      </c>
      <c r="B219" s="71" t="s">
        <v>146</v>
      </c>
      <c r="C219" s="114" t="s">
        <v>321</v>
      </c>
      <c r="D219" s="114" t="s">
        <v>642</v>
      </c>
      <c r="E219" s="119" t="s">
        <v>633</v>
      </c>
      <c r="F219" s="116" t="s">
        <v>244</v>
      </c>
      <c r="G219" s="117"/>
    </row>
    <row r="220" spans="1:7" x14ac:dyDescent="0.35">
      <c r="A220" s="71" t="s">
        <v>346</v>
      </c>
      <c r="B220" s="71" t="s">
        <v>143</v>
      </c>
      <c r="C220" s="114" t="s">
        <v>321</v>
      </c>
      <c r="D220" s="114" t="s">
        <v>643</v>
      </c>
      <c r="E220" s="119" t="s">
        <v>623</v>
      </c>
      <c r="F220" s="116" t="s">
        <v>244</v>
      </c>
      <c r="G220" s="117"/>
    </row>
    <row r="221" spans="1:7" x14ac:dyDescent="0.35">
      <c r="A221" s="71" t="s">
        <v>333</v>
      </c>
      <c r="B221" s="71" t="s">
        <v>143</v>
      </c>
      <c r="C221" s="114" t="s">
        <v>321</v>
      </c>
      <c r="D221" s="114" t="s">
        <v>644</v>
      </c>
      <c r="E221" s="119" t="s">
        <v>339</v>
      </c>
      <c r="F221" s="116" t="s">
        <v>244</v>
      </c>
      <c r="G221" s="117"/>
    </row>
    <row r="222" spans="1:7" x14ac:dyDescent="0.35">
      <c r="A222" s="71" t="s">
        <v>346</v>
      </c>
      <c r="B222" s="71" t="s">
        <v>143</v>
      </c>
      <c r="C222" s="114" t="s">
        <v>321</v>
      </c>
      <c r="D222" s="114" t="s">
        <v>645</v>
      </c>
      <c r="E222" s="119" t="s">
        <v>623</v>
      </c>
      <c r="F222" s="116" t="s">
        <v>244</v>
      </c>
      <c r="G222" s="117"/>
    </row>
    <row r="223" spans="1:7" x14ac:dyDescent="0.35">
      <c r="A223" s="71" t="s">
        <v>346</v>
      </c>
      <c r="B223" s="71" t="s">
        <v>143</v>
      </c>
      <c r="C223" s="114" t="s">
        <v>321</v>
      </c>
      <c r="D223" s="114" t="s">
        <v>646</v>
      </c>
      <c r="E223" s="119" t="s">
        <v>623</v>
      </c>
      <c r="F223" s="116" t="s">
        <v>244</v>
      </c>
      <c r="G223" s="117"/>
    </row>
    <row r="224" spans="1:7" x14ac:dyDescent="0.35">
      <c r="A224" s="71" t="s">
        <v>346</v>
      </c>
      <c r="B224" s="71" t="s">
        <v>143</v>
      </c>
      <c r="C224" s="114" t="s">
        <v>321</v>
      </c>
      <c r="D224" s="114" t="s">
        <v>647</v>
      </c>
      <c r="E224" s="119" t="s">
        <v>339</v>
      </c>
      <c r="F224" s="116" t="s">
        <v>244</v>
      </c>
      <c r="G224" s="117"/>
    </row>
    <row r="225" spans="1:7" x14ac:dyDescent="0.35">
      <c r="A225" s="71" t="s">
        <v>346</v>
      </c>
      <c r="B225" s="71" t="s">
        <v>143</v>
      </c>
      <c r="C225" s="114" t="s">
        <v>321</v>
      </c>
      <c r="D225" s="114" t="s">
        <v>648</v>
      </c>
      <c r="E225" s="119" t="s">
        <v>623</v>
      </c>
      <c r="F225" s="116" t="s">
        <v>244</v>
      </c>
      <c r="G225" s="117"/>
    </row>
    <row r="226" spans="1:7" x14ac:dyDescent="0.35">
      <c r="A226" s="71" t="s">
        <v>346</v>
      </c>
      <c r="B226" s="71" t="s">
        <v>143</v>
      </c>
      <c r="C226" s="114" t="s">
        <v>321</v>
      </c>
      <c r="D226" s="114" t="s">
        <v>649</v>
      </c>
      <c r="E226" s="119" t="s">
        <v>623</v>
      </c>
      <c r="F226" s="116" t="s">
        <v>244</v>
      </c>
      <c r="G226" s="117"/>
    </row>
    <row r="227" spans="1:7" x14ac:dyDescent="0.35">
      <c r="A227" s="71" t="s">
        <v>346</v>
      </c>
      <c r="B227" s="71" t="s">
        <v>143</v>
      </c>
      <c r="C227" s="114" t="s">
        <v>321</v>
      </c>
      <c r="D227" s="114" t="s">
        <v>650</v>
      </c>
      <c r="E227" s="119" t="s">
        <v>623</v>
      </c>
      <c r="F227" s="116" t="s">
        <v>244</v>
      </c>
      <c r="G227" s="117"/>
    </row>
    <row r="228" spans="1:7" x14ac:dyDescent="0.35">
      <c r="A228" s="71" t="s">
        <v>346</v>
      </c>
      <c r="B228" s="71" t="s">
        <v>143</v>
      </c>
      <c r="C228" s="114" t="s">
        <v>321</v>
      </c>
      <c r="D228" s="114" t="s">
        <v>651</v>
      </c>
      <c r="E228" s="119" t="s">
        <v>623</v>
      </c>
      <c r="F228" s="116" t="s">
        <v>244</v>
      </c>
      <c r="G228" s="117"/>
    </row>
    <row r="229" spans="1:7" x14ac:dyDescent="0.35">
      <c r="A229" s="71" t="s">
        <v>372</v>
      </c>
      <c r="B229" s="71" t="s">
        <v>145</v>
      </c>
      <c r="C229" s="114" t="s">
        <v>321</v>
      </c>
      <c r="D229" s="114" t="s">
        <v>652</v>
      </c>
      <c r="E229" s="119" t="s">
        <v>623</v>
      </c>
      <c r="F229" s="116" t="s">
        <v>244</v>
      </c>
      <c r="G229" s="117"/>
    </row>
    <row r="230" spans="1:7" x14ac:dyDescent="0.35">
      <c r="A230" s="71" t="s">
        <v>641</v>
      </c>
      <c r="B230" s="71" t="s">
        <v>146</v>
      </c>
      <c r="C230" s="114" t="s">
        <v>321</v>
      </c>
      <c r="D230" s="114" t="s">
        <v>653</v>
      </c>
      <c r="E230" s="119" t="s">
        <v>623</v>
      </c>
      <c r="F230" s="116" t="s">
        <v>244</v>
      </c>
      <c r="G230" s="117"/>
    </row>
    <row r="231" spans="1:7" x14ac:dyDescent="0.35">
      <c r="A231" s="71" t="s">
        <v>346</v>
      </c>
      <c r="B231" s="71" t="s">
        <v>143</v>
      </c>
      <c r="C231" s="114" t="s">
        <v>321</v>
      </c>
      <c r="D231" s="114" t="s">
        <v>654</v>
      </c>
      <c r="E231" s="119" t="s">
        <v>339</v>
      </c>
      <c r="F231" s="116" t="s">
        <v>244</v>
      </c>
      <c r="G231" s="117"/>
    </row>
    <row r="232" spans="1:7" x14ac:dyDescent="0.35">
      <c r="A232" s="71" t="s">
        <v>333</v>
      </c>
      <c r="B232" s="71" t="s">
        <v>143</v>
      </c>
      <c r="C232" s="114" t="s">
        <v>321</v>
      </c>
      <c r="D232" s="114" t="s">
        <v>655</v>
      </c>
      <c r="E232" s="119" t="s">
        <v>656</v>
      </c>
      <c r="F232" s="116" t="s">
        <v>244</v>
      </c>
      <c r="G232" s="117"/>
    </row>
    <row r="233" spans="1:7" x14ac:dyDescent="0.35">
      <c r="A233" s="71" t="s">
        <v>333</v>
      </c>
      <c r="B233" s="71" t="s">
        <v>143</v>
      </c>
      <c r="C233" s="114" t="s">
        <v>321</v>
      </c>
      <c r="D233" s="114" t="s">
        <v>657</v>
      </c>
      <c r="E233" s="119" t="s">
        <v>623</v>
      </c>
      <c r="F233" s="116" t="s">
        <v>244</v>
      </c>
      <c r="G233" s="117"/>
    </row>
    <row r="234" spans="1:7" x14ac:dyDescent="0.35">
      <c r="A234" s="71" t="s">
        <v>590</v>
      </c>
      <c r="B234" s="71" t="s">
        <v>145</v>
      </c>
      <c r="C234" s="114" t="s">
        <v>321</v>
      </c>
      <c r="D234" s="114" t="s">
        <v>658</v>
      </c>
      <c r="E234" s="119" t="s">
        <v>623</v>
      </c>
      <c r="F234" s="116" t="s">
        <v>244</v>
      </c>
      <c r="G234" s="117"/>
    </row>
    <row r="235" spans="1:7" x14ac:dyDescent="0.35">
      <c r="A235" s="71" t="s">
        <v>368</v>
      </c>
      <c r="B235" s="71" t="s">
        <v>144</v>
      </c>
      <c r="C235" s="114" t="s">
        <v>487</v>
      </c>
      <c r="D235" s="114" t="s">
        <v>659</v>
      </c>
      <c r="E235" s="119" t="s">
        <v>660</v>
      </c>
      <c r="F235" s="116" t="s">
        <v>244</v>
      </c>
      <c r="G235" s="117" t="s">
        <v>375</v>
      </c>
    </row>
    <row r="236" spans="1:7" x14ac:dyDescent="0.35">
      <c r="A236" s="71" t="s">
        <v>661</v>
      </c>
      <c r="B236" s="71" t="s">
        <v>147</v>
      </c>
      <c r="C236" s="114" t="s">
        <v>487</v>
      </c>
      <c r="D236" s="114" t="s">
        <v>662</v>
      </c>
      <c r="E236" s="119" t="s">
        <v>432</v>
      </c>
      <c r="F236" s="116" t="s">
        <v>244</v>
      </c>
      <c r="G236" s="117"/>
    </row>
    <row r="237" spans="1:7" x14ac:dyDescent="0.35">
      <c r="A237" s="71" t="s">
        <v>661</v>
      </c>
      <c r="B237" s="71" t="s">
        <v>147</v>
      </c>
      <c r="C237" s="114" t="s">
        <v>487</v>
      </c>
      <c r="D237" s="114" t="s">
        <v>663</v>
      </c>
      <c r="E237" s="119" t="s">
        <v>432</v>
      </c>
      <c r="F237" s="116" t="s">
        <v>244</v>
      </c>
      <c r="G237" s="117"/>
    </row>
    <row r="238" spans="1:7" x14ac:dyDescent="0.35">
      <c r="A238" s="71" t="s">
        <v>661</v>
      </c>
      <c r="B238" s="71" t="s">
        <v>147</v>
      </c>
      <c r="C238" s="114" t="s">
        <v>487</v>
      </c>
      <c r="D238" s="114" t="s">
        <v>664</v>
      </c>
      <c r="E238" s="119" t="s">
        <v>502</v>
      </c>
      <c r="F238" s="116" t="s">
        <v>244</v>
      </c>
      <c r="G238" s="117"/>
    </row>
    <row r="239" spans="1:7" x14ac:dyDescent="0.35">
      <c r="A239" s="71" t="s">
        <v>372</v>
      </c>
      <c r="B239" s="71" t="s">
        <v>145</v>
      </c>
      <c r="C239" s="114" t="s">
        <v>487</v>
      </c>
      <c r="D239" s="114" t="s">
        <v>665</v>
      </c>
      <c r="E239" s="119" t="s">
        <v>549</v>
      </c>
      <c r="F239" s="116" t="s">
        <v>244</v>
      </c>
      <c r="G239" s="117"/>
    </row>
    <row r="240" spans="1:7" x14ac:dyDescent="0.35">
      <c r="A240" s="71" t="s">
        <v>666</v>
      </c>
      <c r="B240" s="133" t="s">
        <v>151</v>
      </c>
      <c r="C240" s="114" t="s">
        <v>667</v>
      </c>
      <c r="D240" s="114" t="s">
        <v>668</v>
      </c>
      <c r="E240" s="119" t="s">
        <v>669</v>
      </c>
      <c r="F240" s="116" t="s">
        <v>244</v>
      </c>
      <c r="G240" s="117"/>
    </row>
    <row r="241" spans="1:7" x14ac:dyDescent="0.35">
      <c r="A241" s="71" t="s">
        <v>372</v>
      </c>
      <c r="B241" s="71" t="s">
        <v>144</v>
      </c>
      <c r="C241" s="114" t="s">
        <v>324</v>
      </c>
      <c r="D241" s="114" t="s">
        <v>670</v>
      </c>
      <c r="E241" s="119" t="s">
        <v>671</v>
      </c>
      <c r="F241" s="116" t="s">
        <v>244</v>
      </c>
      <c r="G241" s="117"/>
    </row>
    <row r="242" spans="1:7" x14ac:dyDescent="0.35">
      <c r="A242" s="71" t="s">
        <v>399</v>
      </c>
      <c r="B242" s="71" t="s">
        <v>148</v>
      </c>
      <c r="C242" s="114" t="s">
        <v>672</v>
      </c>
      <c r="D242" s="114" t="s">
        <v>673</v>
      </c>
      <c r="E242" s="119" t="s">
        <v>285</v>
      </c>
      <c r="F242" s="116" t="s">
        <v>244</v>
      </c>
      <c r="G242" s="117"/>
    </row>
    <row r="243" spans="1:7" x14ac:dyDescent="0.35">
      <c r="A243" s="71" t="s">
        <v>327</v>
      </c>
      <c r="B243" s="71" t="s">
        <v>144</v>
      </c>
      <c r="C243" s="114" t="s">
        <v>674</v>
      </c>
      <c r="D243" s="114" t="s">
        <v>675</v>
      </c>
      <c r="E243" s="119" t="s">
        <v>288</v>
      </c>
      <c r="F243" s="116" t="s">
        <v>244</v>
      </c>
      <c r="G243" s="117"/>
    </row>
    <row r="244" spans="1:7" x14ac:dyDescent="0.35">
      <c r="A244" s="71" t="s">
        <v>340</v>
      </c>
      <c r="B244" s="71" t="s">
        <v>144</v>
      </c>
      <c r="C244" s="114" t="s">
        <v>513</v>
      </c>
      <c r="D244" s="114" t="s">
        <v>676</v>
      </c>
      <c r="E244" s="119" t="s">
        <v>677</v>
      </c>
      <c r="F244" s="116" t="s">
        <v>244</v>
      </c>
      <c r="G244" s="117"/>
    </row>
    <row r="245" spans="1:7" x14ac:dyDescent="0.35">
      <c r="A245" s="71" t="s">
        <v>678</v>
      </c>
      <c r="B245" s="71" t="s">
        <v>150</v>
      </c>
      <c r="C245" s="114" t="s">
        <v>463</v>
      </c>
      <c r="D245" s="114" t="s">
        <v>679</v>
      </c>
      <c r="E245" s="119" t="s">
        <v>680</v>
      </c>
      <c r="F245" s="116" t="s">
        <v>244</v>
      </c>
      <c r="G245" s="117"/>
    </row>
    <row r="246" spans="1:7" x14ac:dyDescent="0.35">
      <c r="A246" s="71" t="s">
        <v>346</v>
      </c>
      <c r="B246" s="71" t="s">
        <v>143</v>
      </c>
      <c r="C246" s="114" t="s">
        <v>463</v>
      </c>
      <c r="D246" s="114" t="s">
        <v>681</v>
      </c>
      <c r="E246" s="119" t="s">
        <v>682</v>
      </c>
      <c r="F246" s="116" t="s">
        <v>244</v>
      </c>
      <c r="G246" s="117"/>
    </row>
    <row r="247" spans="1:7" x14ac:dyDescent="0.35">
      <c r="A247" s="71" t="s">
        <v>368</v>
      </c>
      <c r="B247" s="71" t="s">
        <v>144</v>
      </c>
      <c r="C247" s="114" t="s">
        <v>317</v>
      </c>
      <c r="D247" s="114" t="s">
        <v>683</v>
      </c>
      <c r="E247" s="119" t="s">
        <v>512</v>
      </c>
      <c r="F247" s="116" t="s">
        <v>244</v>
      </c>
      <c r="G247" s="117"/>
    </row>
    <row r="248" spans="1:7" x14ac:dyDescent="0.35">
      <c r="A248" s="125" t="s">
        <v>554</v>
      </c>
      <c r="B248" s="126" t="s">
        <v>306</v>
      </c>
      <c r="C248" s="127" t="s">
        <v>684</v>
      </c>
      <c r="D248" s="127" t="s">
        <v>685</v>
      </c>
      <c r="E248" s="128" t="s">
        <v>319</v>
      </c>
      <c r="F248" s="129" t="s">
        <v>244</v>
      </c>
      <c r="G248" s="130" t="s">
        <v>557</v>
      </c>
    </row>
    <row r="249" spans="1:7" x14ac:dyDescent="0.35">
      <c r="A249" s="71" t="s">
        <v>686</v>
      </c>
      <c r="B249" s="71" t="s">
        <v>144</v>
      </c>
      <c r="C249" s="114" t="s">
        <v>687</v>
      </c>
      <c r="D249" s="114" t="s">
        <v>688</v>
      </c>
      <c r="E249" s="119" t="s">
        <v>462</v>
      </c>
      <c r="F249" s="116" t="s">
        <v>244</v>
      </c>
      <c r="G249" s="117"/>
    </row>
    <row r="250" spans="1:7" x14ac:dyDescent="0.35">
      <c r="A250" s="71" t="s">
        <v>590</v>
      </c>
      <c r="B250" s="71" t="s">
        <v>210</v>
      </c>
      <c r="C250" s="114" t="s">
        <v>689</v>
      </c>
      <c r="D250" s="114" t="s">
        <v>690</v>
      </c>
      <c r="E250" s="119" t="s">
        <v>691</v>
      </c>
      <c r="F250" s="116" t="s">
        <v>244</v>
      </c>
      <c r="G250" s="117"/>
    </row>
    <row r="251" spans="1:7" x14ac:dyDescent="0.35">
      <c r="A251" s="71" t="s">
        <v>399</v>
      </c>
      <c r="B251" s="71" t="s">
        <v>148</v>
      </c>
      <c r="C251" s="114" t="s">
        <v>692</v>
      </c>
      <c r="D251" s="114" t="s">
        <v>693</v>
      </c>
      <c r="E251" s="119" t="s">
        <v>326</v>
      </c>
      <c r="F251" s="116" t="s">
        <v>244</v>
      </c>
      <c r="G251" s="117"/>
    </row>
    <row r="252" spans="1:7" x14ac:dyDescent="0.35">
      <c r="A252" s="71" t="s">
        <v>333</v>
      </c>
      <c r="B252" s="71" t="s">
        <v>145</v>
      </c>
      <c r="C252" s="114" t="s">
        <v>321</v>
      </c>
      <c r="D252" s="114" t="s">
        <v>694</v>
      </c>
      <c r="E252" s="119" t="s">
        <v>623</v>
      </c>
      <c r="F252" s="116" t="s">
        <v>244</v>
      </c>
      <c r="G252" s="117"/>
    </row>
  </sheetData>
  <sheetProtection sheet="1" objects="1" scenarios="1" formatCells="0" formatColumns="0" formatRows="0" sort="0" autoFilter="0"/>
  <autoFilter ref="A2:G252" xr:uid="{C83DD607-246C-47C3-950B-AFC36124FCF0}"/>
  <mergeCells count="6">
    <mergeCell ref="G1:G2"/>
    <mergeCell ref="A1:A2"/>
    <mergeCell ref="B1:B2"/>
    <mergeCell ref="C1:C2"/>
    <mergeCell ref="D1:D2"/>
    <mergeCell ref="E1:F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2026-05-08T15:46:12+00:00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ermInfo xmlns="http://schemas.microsoft.com/office/infopath/2007/PartnerControls">
          <TermName xmlns="http://schemas.microsoft.com/office/infopath/2007/PartnerControls">dermal</TermName>
          <TermId xmlns="http://schemas.microsoft.com/office/infopath/2007/PartnerControls">8513d648-c7f1-420f-adef-983e3bed9b2c</TermId>
        </TermInfo>
        <TermInfo xmlns="http://schemas.microsoft.com/office/infopath/2007/PartnerControls">
          <TermName xmlns="http://schemas.microsoft.com/office/infopath/2007/PartnerControls">2-Dichloroethylene</TermName>
          <TermId xmlns="http://schemas.microsoft.com/office/infopath/2007/PartnerControls">843fbadb-1231-4ab9-833b-3a6af9331804</TermId>
        </TermInfo>
        <TermInfo xmlns="http://schemas.microsoft.com/office/infopath/2007/PartnerControls">
          <TermName xmlns="http://schemas.microsoft.com/office/infopath/2007/PartnerControls">occupational</TermName>
          <TermId xmlns="http://schemas.microsoft.com/office/infopath/2007/PartnerControls">4eaca312-31b2-4d01-8adc-174ba9820bec</TermId>
        </TermInfo>
        <TermInfo xmlns="http://schemas.microsoft.com/office/infopath/2007/PartnerControls">
          <TermName xmlns="http://schemas.microsoft.com/office/infopath/2007/PartnerControls">model</TermName>
          <TermId xmlns="http://schemas.microsoft.com/office/infopath/2007/PartnerControls">26f34ec5-4543-4d7b-ab73-8b8a433aaaf4</TermId>
        </TermInfo>
        <TermInfo xmlns="http://schemas.microsoft.com/office/infopath/2007/PartnerControls">
          <TermName xmlns="http://schemas.microsoft.com/office/infopath/2007/PartnerControls">trans-1</TermName>
          <TermId xmlns="http://schemas.microsoft.com/office/infopath/2007/PartnerControls">3bd1ca93-0ea3-47d7-9577-5c84a0904703</TermId>
        </TermInfo>
        <TermInfo xmlns="http://schemas.microsoft.com/office/infopath/2007/PartnerControls">
          <TermName xmlns="http://schemas.microsoft.com/office/infopath/2007/PartnerControls">risk assessment</TermName>
          <TermId xmlns="http://schemas.microsoft.com/office/infopath/2007/PartnerControls">11111111-1111-1111-1111-111111111111</TermId>
        </TermInfo>
        <TermInfo xmlns="http://schemas.microsoft.com/office/infopath/2007/PartnerControls">
          <TermName xmlns="http://schemas.microsoft.com/office/infopath/2007/PartnerControls">Exposure</TermName>
          <TermId xmlns="http://schemas.microsoft.com/office/infopath/2007/PartnerControls">44a40c17-e1b9-4157-a85d-d32620a2144a</TermId>
        </TermInfo>
      </Terms>
    </TaxKeywordTaxHTField>
    <Rights xmlns="4ffa91fb-a0ff-4ac5-b2db-65c790d184a4" xsi:nil="true"/>
    <External_x0020_Contributor xmlns="4ffa91fb-a0ff-4ac5-b2db-65c790d184a4" xsi:nil="true"/>
    <Identifier xmlns="4ffa91fb-a0ff-4ac5-b2db-65c790d184a4" xsi:nil="true"/>
    <_ip_UnifiedCompliancePolicyUIAction xmlns="http://schemas.microsoft.com/sharepoint/v3" xsi:nil="true"/>
    <Creator xmlns="4ffa91fb-a0ff-4ac5-b2db-65c790d184a4">
      <UserInfo>
        <DisplayName/>
        <AccountId xsi:nil="true"/>
        <AccountType/>
      </UserInfo>
    </Creator>
    <_ip_UnifiedCompliancePolicyProperties xmlns="http://schemas.microsoft.com/sharepoint/v3" xsi:nil="true"/>
    <Language xmlns="http://schemas.microsoft.com/sharepoint/v3">English</Language>
    <j747ac98061d40f0aa7bd47e1db5675d xmlns="4ffa91fb-a0ff-4ac5-b2db-65c790d184a4">
      <Terms xmlns="http://schemas.microsoft.com/office/infopath/2007/PartnerControls"/>
    </j747ac98061d40f0aa7bd47e1db5675d>
    <lcf76f155ced4ddcb4097134ff3c332f xmlns="ead8da0f-3542-4e50-96c8-f1f698624e86">
      <Terms xmlns="http://schemas.microsoft.com/office/infopath/2007/PartnerControls"/>
    </lcf76f155ced4ddcb4097134ff3c332f>
    <TaxCatchAll xmlns="4ffa91fb-a0ff-4ac5-b2db-65c790d184a4">
      <Value>1202</Value>
      <Value>1115</Value>
      <Value>1266</Value>
      <Value>653</Value>
      <Value>2096</Value>
      <Value>1058</Value>
      <Value>1193</Value>
    </TaxCatchAll>
    <e3f09c3df709400db2417a7161762d62 xmlns="4ffa91fb-a0ff-4ac5-b2db-65c790d184a4">
      <Terms xmlns="http://schemas.microsoft.com/office/infopath/2007/PartnerControls"/>
    </e3f09c3df709400db2417a7161762d6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D7801337-7EEB-44AC-9FA2-B861A5EF0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3A8979-92B4-474A-BEFD-7777512048F0}">
  <ds:schemaRefs>
    <ds:schemaRef ds:uri="http://schemas.microsoft.com/office/2006/metadata/properties"/>
    <ds:schemaRef ds:uri="http://schemas.microsoft.com/office/infopath/2007/PartnerControls"/>
    <ds:schemaRef ds:uri="http://schemas.microsoft.com/sharepoint/v3/fields"/>
    <ds:schemaRef ds:uri="4ffa91fb-a0ff-4ac5-b2db-65c790d184a4"/>
    <ds:schemaRef ds:uri="http://schemas.microsoft.com/sharepoint.v3"/>
    <ds:schemaRef ds:uri="http://schemas.microsoft.com/sharepoint/v3"/>
    <ds:schemaRef ds:uri="ead8da0f-3542-4e50-96c8-f1f698624e86"/>
  </ds:schemaRefs>
</ds:datastoreItem>
</file>

<file path=customXml/itemProps3.xml><?xml version="1.0" encoding="utf-8"?>
<ds:datastoreItem xmlns:ds="http://schemas.openxmlformats.org/officeDocument/2006/customXml" ds:itemID="{064F3699-5791-4486-B36A-B866585A0145}">
  <ds:schemaRefs>
    <ds:schemaRef ds:uri="http://schemas.microsoft.com/sharepoint/v3/contenttype/forms"/>
  </ds:schemaRefs>
</ds:datastoreItem>
</file>

<file path=customXml/itemProps4.xml><?xml version="1.0" encoding="utf-8"?>
<ds:datastoreItem xmlns:ds="http://schemas.openxmlformats.org/officeDocument/2006/customXml" ds:itemID="{5CAE0A96-64F7-46DB-BE07-6C82C0A21D5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122</vt:i4>
      </vt:variant>
    </vt:vector>
  </HeadingPairs>
  <TitlesOfParts>
    <vt:vector size="132" baseType="lpstr">
      <vt:lpstr>Cover Page</vt:lpstr>
      <vt:lpstr>ReadMe</vt:lpstr>
      <vt:lpstr>Parameters</vt:lpstr>
      <vt:lpstr>Discrete Distributions</vt:lpstr>
      <vt:lpstr>Calculations</vt:lpstr>
      <vt:lpstr>Exposure Results</vt:lpstr>
      <vt:lpstr>Static Exposure Results</vt:lpstr>
      <vt:lpstr>Chemistry</vt:lpstr>
      <vt:lpstr>Products</vt:lpstr>
      <vt:lpstr>OES Lookups</vt:lpstr>
      <vt:lpstr>ARD_1</vt:lpstr>
      <vt:lpstr>ARD_10</vt:lpstr>
      <vt:lpstr>ARD_11</vt:lpstr>
      <vt:lpstr>ARD_12</vt:lpstr>
      <vt:lpstr>ARD_13</vt:lpstr>
      <vt:lpstr>ARD_14</vt:lpstr>
      <vt:lpstr>ARD_15</vt:lpstr>
      <vt:lpstr>ARD_16</vt:lpstr>
      <vt:lpstr>ARD_2</vt:lpstr>
      <vt:lpstr>ARD_3</vt:lpstr>
      <vt:lpstr>ARD_4</vt:lpstr>
      <vt:lpstr>ARD_5</vt:lpstr>
      <vt:lpstr>ARD_6</vt:lpstr>
      <vt:lpstr>ARD_7</vt:lpstr>
      <vt:lpstr>ARD_8</vt:lpstr>
      <vt:lpstr>ARD_9</vt:lpstr>
      <vt:lpstr>AT_IT</vt:lpstr>
      <vt:lpstr>AT_LCRD</vt:lpstr>
      <vt:lpstr>BW</vt:lpstr>
      <vt:lpstr>CRD_1</vt:lpstr>
      <vt:lpstr>CRD_10</vt:lpstr>
      <vt:lpstr>CRD_11</vt:lpstr>
      <vt:lpstr>CRD_12</vt:lpstr>
      <vt:lpstr>CRD_13</vt:lpstr>
      <vt:lpstr>CRD_14</vt:lpstr>
      <vt:lpstr>CRD_15</vt:lpstr>
      <vt:lpstr>CRD_16</vt:lpstr>
      <vt:lpstr>CRD_2</vt:lpstr>
      <vt:lpstr>CRD_3</vt:lpstr>
      <vt:lpstr>CRD_4</vt:lpstr>
      <vt:lpstr>CRD_5</vt:lpstr>
      <vt:lpstr>CRD_6</vt:lpstr>
      <vt:lpstr>CRD_7</vt:lpstr>
      <vt:lpstr>CRD_8</vt:lpstr>
      <vt:lpstr>CRD_9</vt:lpstr>
      <vt:lpstr>EF_1</vt:lpstr>
      <vt:lpstr>EF_10</vt:lpstr>
      <vt:lpstr>EF_11</vt:lpstr>
      <vt:lpstr>EF_12</vt:lpstr>
      <vt:lpstr>EF_13</vt:lpstr>
      <vt:lpstr>EF_14</vt:lpstr>
      <vt:lpstr>EF_15</vt:lpstr>
      <vt:lpstr>EF_16</vt:lpstr>
      <vt:lpstr>EF_2</vt:lpstr>
      <vt:lpstr>EF_3</vt:lpstr>
      <vt:lpstr>EF_4</vt:lpstr>
      <vt:lpstr>EF_5</vt:lpstr>
      <vt:lpstr>EF_6</vt:lpstr>
      <vt:lpstr>EF_7</vt:lpstr>
      <vt:lpstr>EF_8</vt:lpstr>
      <vt:lpstr>EF_9</vt:lpstr>
      <vt:lpstr>EF_C</vt:lpstr>
      <vt:lpstr>EF_IT</vt:lpstr>
      <vt:lpstr>fabs</vt:lpstr>
      <vt:lpstr>FT</vt:lpstr>
      <vt:lpstr>IRD_1</vt:lpstr>
      <vt:lpstr>IRD_10</vt:lpstr>
      <vt:lpstr>IRD_11</vt:lpstr>
      <vt:lpstr>IRD_12</vt:lpstr>
      <vt:lpstr>IRD_13</vt:lpstr>
      <vt:lpstr>IRD_14</vt:lpstr>
      <vt:lpstr>IRD_15</vt:lpstr>
      <vt:lpstr>IRD_16</vt:lpstr>
      <vt:lpstr>IRD_2</vt:lpstr>
      <vt:lpstr>IRD_3</vt:lpstr>
      <vt:lpstr>IRD_4</vt:lpstr>
      <vt:lpstr>IRD_5</vt:lpstr>
      <vt:lpstr>IRD_6</vt:lpstr>
      <vt:lpstr>IRD_7</vt:lpstr>
      <vt:lpstr>IRD_8</vt:lpstr>
      <vt:lpstr>IRD_9</vt:lpstr>
      <vt:lpstr>LCRD_1</vt:lpstr>
      <vt:lpstr>LCRD_10</vt:lpstr>
      <vt:lpstr>LCRD_11</vt:lpstr>
      <vt:lpstr>LCRD_12</vt:lpstr>
      <vt:lpstr>LCRD_13</vt:lpstr>
      <vt:lpstr>LCRD_14</vt:lpstr>
      <vt:lpstr>LCRD_15</vt:lpstr>
      <vt:lpstr>LCRD_16</vt:lpstr>
      <vt:lpstr>LCRD_2</vt:lpstr>
      <vt:lpstr>LCRD_3</vt:lpstr>
      <vt:lpstr>LCRD_4</vt:lpstr>
      <vt:lpstr>LCRD_5</vt:lpstr>
      <vt:lpstr>LCRD_6</vt:lpstr>
      <vt:lpstr>LCRD_7</vt:lpstr>
      <vt:lpstr>LCRD_8</vt:lpstr>
      <vt:lpstr>LCRD_9</vt:lpstr>
      <vt:lpstr>PDR_1</vt:lpstr>
      <vt:lpstr>PDR_10</vt:lpstr>
      <vt:lpstr>PDR_11</vt:lpstr>
      <vt:lpstr>PDR_12</vt:lpstr>
      <vt:lpstr>PDR_13</vt:lpstr>
      <vt:lpstr>PDR_14</vt:lpstr>
      <vt:lpstr>PDR_15</vt:lpstr>
      <vt:lpstr>PDR_16</vt:lpstr>
      <vt:lpstr>PDR_2</vt:lpstr>
      <vt:lpstr>PDR_3</vt:lpstr>
      <vt:lpstr>PDR_4</vt:lpstr>
      <vt:lpstr>PDR_5</vt:lpstr>
      <vt:lpstr>PDR_6</vt:lpstr>
      <vt:lpstr>PDR_7</vt:lpstr>
      <vt:lpstr>PDR_8</vt:lpstr>
      <vt:lpstr>PDR_9</vt:lpstr>
      <vt:lpstr>Qu</vt:lpstr>
      <vt:lpstr>S</vt:lpstr>
      <vt:lpstr>WY</vt:lpstr>
      <vt:lpstr>Yderm1</vt:lpstr>
      <vt:lpstr>Yderm10</vt:lpstr>
      <vt:lpstr>Yderm11</vt:lpstr>
      <vt:lpstr>Yderm12</vt:lpstr>
      <vt:lpstr>Yderm13</vt:lpstr>
      <vt:lpstr>Yderm14</vt:lpstr>
      <vt:lpstr>Yderm15</vt:lpstr>
      <vt:lpstr>Yderm16</vt:lpstr>
      <vt:lpstr>Yderm2</vt:lpstr>
      <vt:lpstr>Yderm3</vt:lpstr>
      <vt:lpstr>Yderm4</vt:lpstr>
      <vt:lpstr>Yderm5</vt:lpstr>
      <vt:lpstr>Yderm6</vt:lpstr>
      <vt:lpstr>Yderm7</vt:lpstr>
      <vt:lpstr>Yderm8</vt:lpstr>
      <vt:lpstr>Yderm9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Occupational Dermal Exposure Model for trans-1,2-Dichloroethylene </dc:title>
  <dc:subject>Draft Risk Evaluation for trans-1,2-Dichloroethylene</dc:subject>
  <dc:creator/>
  <cp:keywords>trans-1,2-Dichloroethylene; risk assessment; occupational; exposure; dermal; model</cp:keywords>
  <dc:description/>
  <cp:lastModifiedBy/>
  <cp:revision>1</cp:revision>
  <dcterms:created xsi:type="dcterms:W3CDTF">2026-07-30T16:18:40Z</dcterms:created>
  <dcterms:modified xsi:type="dcterms:W3CDTF">2026-07-30T16:31:27Z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1202;#dermal|8513d648-c7f1-420f-adef-983e3bed9b2c;#1115;#2-Dichloroethylene|843fbadb-1231-4ab9-833b-3a6af9331804;#1266;#occupational|4eaca312-31b2-4d01-8adc-174ba9820bec;#653;#model|26f34ec5-4543-4d7b-ab73-8b8a433aaaf4;#2096;#trans-1|3bd1ca93-0ea3-47d7-9577-5c84a0904703;#1058;#risk assessment|11111111-1111-1111-1111-111111111111;#1193;#Exposure|44a40c17-e1b9-4157-a85d-d32620a2144a</vt:lpwstr>
  </property>
  <property fmtid="{D5CDD505-2E9C-101B-9397-08002B2CF9AE}" pid="3" name="Document_x0020_Type">
    <vt:lpwstr/>
  </property>
  <property fmtid="{D5CDD505-2E9C-101B-9397-08002B2CF9AE}" pid="4" name="MediaServiceImageTags">
    <vt:lpwstr/>
  </property>
  <property fmtid="{D5CDD505-2E9C-101B-9397-08002B2CF9AE}" pid="5" name="ContentTypeId">
    <vt:lpwstr>0x010100D723352F79007E408EFF44D6142FFCE2</vt:lpwstr>
  </property>
  <property fmtid="{D5CDD505-2E9C-101B-9397-08002B2CF9AE}" pid="6" name="EPA Subject">
    <vt:lpwstr/>
  </property>
  <property fmtid="{D5CDD505-2E9C-101B-9397-08002B2CF9AE}" pid="7" name="EPA_x0020_Subject">
    <vt:lpwstr/>
  </property>
  <property fmtid="{D5CDD505-2E9C-101B-9397-08002B2CF9AE}" pid="8" name="Document Type">
    <vt:lpwstr/>
  </property>
</Properties>
</file>