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76" documentId="8_{3BC0A61F-AC0C-4041-B14E-EEB78D646576}" xr6:coauthVersionLast="47" xr6:coauthVersionMax="47" xr10:uidLastSave="{5F1E0425-179D-461B-BEF2-928BF342C086}"/>
  <bookViews>
    <workbookView xWindow="-110" yWindow="-110" windowWidth="19420" windowHeight="10300" tabRatio="546" xr2:uid="{2284913D-32C5-4935-8264-E13C2290F1C3}"/>
  </bookViews>
  <sheets>
    <sheet name="Cover Page" sheetId="54" r:id="rId1"/>
    <sheet name="README" sheetId="44" r:id="rId2"/>
    <sheet name="Calculation Summary" sheetId="46" r:id="rId3"/>
    <sheet name="Bridge Table" sheetId="45" r:id="rId4"/>
    <sheet name="Risk Reduction" sheetId="40" r:id="rId5"/>
    <sheet name="Health Data" sheetId="39" r:id="rId6"/>
    <sheet name="Dermal Exposure" sheetId="42" r:id="rId7"/>
    <sheet name="Inhalation Exposure_8-hr" sheetId="37" r:id="rId8"/>
    <sheet name="Inhalation Exposure_Short-Term" sheetId="53" r:id="rId9"/>
    <sheet name="List Values" sheetId="35" r:id="rId10"/>
    <sheet name="Exposure Factors" sheetId="38" r:id="rId11"/>
  </sheets>
  <definedNames>
    <definedName name="_2017NEI_Nonpoint_TSCA_Chem_List">#REF!</definedName>
    <definedName name="_2017NEI_tsca_chemicals_wSCCdetail_Query">#REF!</definedName>
    <definedName name="_AtRisk_ReportsSetting_ReportGraphOptions" hidden="1">"REP:VER:8.0.0GRA:OUT:003INS:00SUM:T00DET:T00SCE:02SC1:39DAT:2|TRUE, .75, 1|TRUE, 0, .25|TRUE, .9, 1SE1:40DAT:3,10,2, .95,5,16,FALSE, 0,TRUE,TRUE,TRUESE2:40DAT:3,10,2, .95,5,16,FALSE, 0,TRUE,TRUE,TRUETSI:002"</definedName>
    <definedName name="_AtRisk_ReportsSetting_ReportMulitSelections" hidden="1">"REP:VER:8.0.0MUL:OUT:T10INS:T11SUM:T10DET:T10SEN:T11SCE:T11TEM:F"</definedName>
    <definedName name="_AtRisk_ReportsSetting_ReportOptions" hidden="1">CONCATENATE("REP:VER:8.0.0OPT:RAP:01RWE:02RLS:04ROT:00RST:00RRT:04AGR:FAFN:195DAT:P:\CEB\ExistingChems\Work Plan Chemicals\2nd Batch\Flame Retardants\TCEP\b-RiskEvaluation\3_Release Estimate\Release Simulations\Saved Scenario Runs\Release_Import COU_Scenario 2_27"," May 2022.xlsxOGR:T")</definedName>
    <definedName name="_AtRisk_ReportsSetting_ReportSelectedSimulationsDET" hidden="1">"AQA="</definedName>
    <definedName name="_AtRisk_ReportsSetting_ReportSelectedSimulationsINS" hidden="1">"AQA="</definedName>
    <definedName name="_AtRisk_ReportsSetting_ReportSelectedSimulationsOUT" hidden="1">"AQA="</definedName>
    <definedName name="_AtRisk_ReportsSetting_ReportSelectedSimulationsSCE" hidden="1">"AQA="</definedName>
    <definedName name="_AtRisk_ReportsSetting_ReportSelectedSimulationsSEN" hidden="1">"AQA="</definedName>
    <definedName name="_AtRisk_ReportsSetting_ReportSelectedSimulationsSUM" hidden="1">"AQA="</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localSheetId="0" hidden="1">100</definedName>
    <definedName name="_AtRisk_SimSetting_ConvergenceTestingPeriod" hidden="1">10</definedName>
    <definedName name="_AtRisk_SimSetting_ConvergenceTolerance" localSheetId="0" hidden="1">0.03</definedName>
    <definedName name="_AtRisk_SimSetting_ConvergenceTolerance" hidden="1">0.01</definedName>
    <definedName name="_AtRisk_SimSetting_CorrelationEnabledState" hidden="1">1</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localSheetId="0" hidden="1">-1</definedName>
    <definedName name="_AtRisk_SimSetting_MultipleCPUCount" hidden="1">8</definedName>
    <definedName name="_AtRisk_SimSetting_MultipleCPUManualCount" hidden="1">8</definedName>
    <definedName name="_AtRisk_SimSetting_MultipleCPUMode" localSheetId="0" hidden="1">1</definedName>
    <definedName name="_AtRisk_SimSetting_MultipleCPUMode" hidden="1">2</definedName>
    <definedName name="_AtRisk_SimSetting_MultipleCPUModeV8" localSheetId="0" hidden="1">1</definedName>
    <definedName name="_AtRisk_SimSetting_MultipleCPUModeV8" hidden="1">2</definedName>
    <definedName name="_AtRisk_SimSetting_RandomNumberGenerator" hidden="1">0</definedName>
    <definedName name="_AtRisk_SimSetting_ReportOptionCustomItemCumulativeOverlay01" hidden="1">0</definedName>
    <definedName name="_AtRisk_SimSetting_ReportOptionCustomItemCumulativeOverlay02" hidden="1">0</definedName>
    <definedName name="_AtRisk_SimSetting_ReportOptionCustomItemCumulativeOverlay03" hidden="1">0</definedName>
    <definedName name="_AtRisk_SimSetting_ReportOptionCustomItemCumulativeOverlay04" hidden="1">0</definedName>
    <definedName name="_AtRisk_SimSetting_ReportOptionCustomItemCumulativeOverlay05" hidden="1">0</definedName>
    <definedName name="_AtRisk_SimSetting_ReportOptionCustomItemCumulativeOverlay06" hidden="1">0</definedName>
    <definedName name="_AtRisk_SimSetting_ReportOptionCustomItemDistributionFormat01" hidden="1">1</definedName>
    <definedName name="_AtRisk_SimSetting_ReportOptionCustomItemDistributionFormat02" hidden="1">1</definedName>
    <definedName name="_AtRisk_SimSetting_ReportOptionCustomItemDistributionFormat03" hidden="1">4</definedName>
    <definedName name="_AtRisk_SimSetting_ReportOptionCustomItemDistributionFormat04" hidden="1">1</definedName>
    <definedName name="_AtRisk_SimSetting_ReportOptionCustomItemDistributionFormat05" hidden="1">1</definedName>
    <definedName name="_AtRisk_SimSetting_ReportOptionCustomItemDistributionFormat06" hidden="1">1</definedName>
    <definedName name="_AtRisk_SimSetting_ReportOptionCustomItemGraphFormat01" hidden="1">1</definedName>
    <definedName name="_AtRisk_SimSetting_ReportOptionCustomItemGraphFormat02" hidden="1">1</definedName>
    <definedName name="_AtRisk_SimSetting_ReportOptionCustomItemGraphFormat03" hidden="1">1</definedName>
    <definedName name="_AtRisk_SimSetting_ReportOptionCustomItemGraphFormat04" hidden="1">1</definedName>
    <definedName name="_AtRisk_SimSetting_ReportOptionCustomItemGraphFormat05" hidden="1">1</definedName>
    <definedName name="_AtRisk_SimSetting_ReportOptionCustomItemGraphFormat06" hidden="1">1</definedName>
    <definedName name="_AtRisk_SimSetting_ReportOptionCustomItemItemSize01" hidden="1">0</definedName>
    <definedName name="_AtRisk_SimSetting_ReportOptionCustomItemItemSize02" hidden="1">0</definedName>
    <definedName name="_AtRisk_SimSetting_ReportOptionCustomItemItemSize03" hidden="1">0</definedName>
    <definedName name="_AtRisk_SimSetting_ReportOptionCustomItemItemSize04" hidden="1">0</definedName>
    <definedName name="_AtRisk_SimSetting_ReportOptionCustomItemItemSize05" hidden="1">0</definedName>
    <definedName name="_AtRisk_SimSetting_ReportOptionCustomItemItemSize06" hidden="1">0</definedName>
    <definedName name="_AtRisk_SimSetting_ReportOptionCustomItemItemType01" hidden="1">1</definedName>
    <definedName name="_AtRisk_SimSetting_ReportOptionCustomItemItemType02" hidden="1">5</definedName>
    <definedName name="_AtRisk_SimSetting_ReportOptionCustomItemItemType03" hidden="1">1</definedName>
    <definedName name="_AtRisk_SimSetting_ReportOptionCustomItemItemType04" hidden="1">3</definedName>
    <definedName name="_AtRisk_SimSetting_ReportOptionCustomItemItemType05" hidden="1">2</definedName>
    <definedName name="_AtRisk_SimSetting_ReportOptionCustomItemItemType06" hidden="1">4</definedName>
    <definedName name="_AtRisk_SimSetting_ReportOptionCustomItemLegendType01" hidden="1">0</definedName>
    <definedName name="_AtRisk_SimSetting_ReportOptionCustomItemLegendType02" hidden="1">0</definedName>
    <definedName name="_AtRisk_SimSetting_ReportOptionCustomItemLegendType03" hidden="1">0</definedName>
    <definedName name="_AtRisk_SimSetting_ReportOptionCustomItemLegendType04" hidden="1">0</definedName>
    <definedName name="_AtRisk_SimSetting_ReportOptionCustomItemLegendType05" hidden="1">0</definedName>
    <definedName name="_AtRisk_SimSetting_ReportOptionCustomItemLegendType06" hidden="1">0</definedName>
    <definedName name="_AtRisk_SimSetting_ReportOptionCustomItemsCount" hidden="1">0</definedName>
    <definedName name="_AtRisk_SimSetting_ReportOptionCustomItemSensitivityFormat01" hidden="1">1</definedName>
    <definedName name="_AtRisk_SimSetting_ReportOptionCustomItemSensitivityFormat02" hidden="1">1</definedName>
    <definedName name="_AtRisk_SimSetting_ReportOptionCustomItemSensitivityFormat03" hidden="1">1</definedName>
    <definedName name="_AtRisk_SimSetting_ReportOptionCustomItemSensitivityFormat04" hidden="1">1</definedName>
    <definedName name="_AtRisk_SimSetting_ReportOptionCustomItemSensitivityFormat05" hidden="1">1</definedName>
    <definedName name="_AtRisk_SimSetting_ReportOptionCustomItemSensitivityFormat06" hidden="1">1</definedName>
    <definedName name="_AtRisk_SimSetting_ReportOptionCustomItemSummaryGraphType01" hidden="1">0</definedName>
    <definedName name="_AtRisk_SimSetting_ReportOptionCustomItemSummaryGraphType02" hidden="1">0</definedName>
    <definedName name="_AtRisk_SimSetting_ReportOptionCustomItemSummaryGraphType03" hidden="1">0</definedName>
    <definedName name="_AtRisk_SimSetting_ReportOptionCustomItemSummaryGraphType04" hidden="1">0</definedName>
    <definedName name="_AtRisk_SimSetting_ReportOptionCustomItemSummaryGraphType05" hidden="1">0</definedName>
    <definedName name="_AtRisk_SimSetting_ReportOptionCustomItemSummaryGraphType06"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15</definedName>
    <definedName name="_AtRisk_SimSetting_ReportOptionReportsFileType" hidden="1">1</definedName>
    <definedName name="_AtRisk_SimSetting_ReportOptionSelectiveQR" hidden="1">FALSE</definedName>
    <definedName name="_AtRisk_SimSetting_ReportsList" hidden="1">15</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3" hidden="1">'Bridge Table'!$A$1:$AC$324</definedName>
    <definedName name="_xlnm._FilterDatabase" localSheetId="2" hidden="1">'Calculation Summary'!$A$1:$C$31</definedName>
    <definedName name="_xlnm._FilterDatabase" localSheetId="6" hidden="1">'Dermal Exposure'!$A$1:$V$19</definedName>
    <definedName name="_xlnm._FilterDatabase" localSheetId="10" hidden="1">'Exposure Factors'!$B$3:$E$23</definedName>
    <definedName name="_xlnm._FilterDatabase" localSheetId="5" hidden="1">'Health Data'!$A$1:$O$18</definedName>
    <definedName name="_xlnm._FilterDatabase" localSheetId="7" hidden="1">'Inhalation Exposure_8-hr'!$B$5:$U$70</definedName>
    <definedName name="_xlnm._FilterDatabase" localSheetId="8" hidden="1">'Inhalation Exposure_Short-Term'!$B$1:$Q$59</definedName>
    <definedName name="_xlnm._FilterDatabase" localSheetId="9" hidden="1">'List Values'!$A$1:$N$67</definedName>
    <definedName name="_xlnm._FilterDatabase" localSheetId="1" hidden="1">README!$A$1:$B$14</definedName>
    <definedName name="_xlnm._FilterDatabase" localSheetId="4" hidden="1">'Risk Reduction'!$A$1:$AA$55</definedName>
    <definedName name="AT">#REF!</definedName>
    <definedName name="AT_50th_non_cancer">#REF!</definedName>
    <definedName name="AT_50th_non_cancer_DC">#REF!</definedName>
    <definedName name="AT_95th_non_cancer">#REF!</definedName>
    <definedName name="AT_95th_non_cancer_DC">#REF!</definedName>
    <definedName name="AT_AC" localSheetId="0">#REF!</definedName>
    <definedName name="AT_AC">'List Values'!$K$45</definedName>
    <definedName name="AT_AC_DC">#REF!</definedName>
    <definedName name="AT_ADC_high" localSheetId="0">#REF!</definedName>
    <definedName name="AT_ADC_high">'List Values'!$K$37</definedName>
    <definedName name="AT_ADC_I">'List Values'!$K$43</definedName>
    <definedName name="AT_ADC_mid" localSheetId="0">#REF!</definedName>
    <definedName name="AT_ADC_mid">'List Values'!$K$36</definedName>
    <definedName name="AT_cancer">#REF!</definedName>
    <definedName name="AT_cancer_DC">#REF!</definedName>
    <definedName name="AT_CRD_high">'List Values'!$K$40</definedName>
    <definedName name="AT_CRD_I">'List Values'!#REF!</definedName>
    <definedName name="AT_CRD_mid">'List Values'!$K$39</definedName>
    <definedName name="AT_LADC" localSheetId="0">#REF!</definedName>
    <definedName name="AT_LADC">'List Values'!$K$38</definedName>
    <definedName name="AT_LCRD">'List Values'!$K$41</definedName>
    <definedName name="AWD">#REF!</definedName>
    <definedName name="AWD_DC_50th">#REF!</definedName>
    <definedName name="AWD_DC_95th">#REF!</definedName>
    <definedName name="Breathing_Ratio">'List Values'!$K$42</definedName>
    <definedName name="BW_default">'Exposure Factors'!$C$6</definedName>
    <definedName name="BW_women">'Exposure Factors'!$D$6</definedName>
    <definedName name="CASRN">#REF!</definedName>
    <definedName name="ED">#REF!</definedName>
    <definedName name="ED_24">'List Values'!$K$30</definedName>
    <definedName name="ED_8">'List Values'!$K$29</definedName>
    <definedName name="ED_AC">#REF!</definedName>
    <definedName name="ED_AC_DC">#REF!</definedName>
    <definedName name="ED_chronic">#REF!</definedName>
    <definedName name="ED_chronic_DC">#REF!</definedName>
    <definedName name="EF" localSheetId="0">#REF!</definedName>
    <definedName name="EF">'List Values'!$K$31</definedName>
    <definedName name="EF_C">'List Values'!$K$32</definedName>
    <definedName name="EF_I">'List Values'!$K$44</definedName>
    <definedName name="EG">#REF!</definedName>
    <definedName name="Exposure_Drop_down" localSheetId="5">'Health Data'!$L$11:$L$11</definedName>
    <definedName name="LT">'List Values'!$K$35</definedName>
    <definedName name="MW">'List Values'!$J$19</definedName>
    <definedName name="Pal_Workbook_GUID" localSheetId="0" hidden="1">"SK39RLEDQA2L46YW8H5SUKN3"</definedName>
    <definedName name="Pal_Workbook_GUID" hidden="1">"QFFA8IQU6YFGRFCXE7L4LIWR"</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localSheetId="0" hidden="1">TRUE</definedName>
    <definedName name="RiskMultipleCPUSupportEnabled" hidden="1">FALSE</definedName>
    <definedName name="RiskNumIterations" hidden="1">100000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imulationResultsExternalFilePath" hidden="1">"C:\Users\ERGUSER\OneDrive - Eastern Research Group\Documents\_ExChems\Chlorinated Solvents\tDCE\tDCE Dermal Exposure Model_2026.01.20.RSK5"</definedName>
    <definedName name="RiskSimulationResultsStorageLocation"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localSheetId="0" hidden="1">TRUE</definedName>
    <definedName name="RiskUseMultipleCPUs" hidden="1">FALSE</definedName>
    <definedName name="solver_adj" localSheetId="4" hidden="1">'Risk Reduction'!#REF!</definedName>
    <definedName name="solver_cvg" localSheetId="4" hidden="1">0.0001</definedName>
    <definedName name="solver_drv" localSheetId="4" hidden="1">1</definedName>
    <definedName name="solver_eng" localSheetId="4" hidden="1">1</definedName>
    <definedName name="solver_est" localSheetId="4" hidden="1">1</definedName>
    <definedName name="solver_itr" localSheetId="4" hidden="1">2147483647</definedName>
    <definedName name="solver_mip" localSheetId="4" hidden="1">2147483647</definedName>
    <definedName name="solver_mni" localSheetId="4" hidden="1">30</definedName>
    <definedName name="solver_mrt" localSheetId="4" hidden="1">0.075</definedName>
    <definedName name="solver_msl" localSheetId="4" hidden="1">2</definedName>
    <definedName name="solver_neg" localSheetId="4" hidden="1">1</definedName>
    <definedName name="solver_nod" localSheetId="4" hidden="1">2147483647</definedName>
    <definedName name="solver_num" localSheetId="4" hidden="1">0</definedName>
    <definedName name="solver_nwt" localSheetId="4" hidden="1">1</definedName>
    <definedName name="solver_opt" localSheetId="4" hidden="1">'Risk Reduction'!#REF!</definedName>
    <definedName name="solver_pre" localSheetId="4" hidden="1">0.000001</definedName>
    <definedName name="solver_rbv" localSheetId="4" hidden="1">1</definedName>
    <definedName name="solver_rlx" localSheetId="4" hidden="1">2</definedName>
    <definedName name="solver_rsd" localSheetId="4" hidden="1">0</definedName>
    <definedName name="solver_scl" localSheetId="4" hidden="1">1</definedName>
    <definedName name="solver_sho" localSheetId="4" hidden="1">2</definedName>
    <definedName name="solver_ssz" localSheetId="4" hidden="1">100</definedName>
    <definedName name="solver_tim" localSheetId="4" hidden="1">2147483647</definedName>
    <definedName name="solver_tol" localSheetId="4" hidden="1">0.01</definedName>
    <definedName name="solver_typ" localSheetId="4" hidden="1">3</definedName>
    <definedName name="solver_val" localSheetId="4" hidden="1">1</definedName>
    <definedName name="solver_ver" localSheetId="4" hidden="1">3</definedName>
    <definedName name="ug_per_mg">'List Values'!$J$26</definedName>
    <definedName name="what">#REF!</definedName>
    <definedName name="WY_50th">#REF!</definedName>
    <definedName name="WY_50th_DC">#REF!</definedName>
    <definedName name="WY_95th">#REF!</definedName>
    <definedName name="WY_95th_DC">#REF!</definedName>
    <definedName name="WY_CT_default">'Exposure Factors'!$C$10</definedName>
    <definedName name="WY_CT_women">'Exposure Factors'!$D$10</definedName>
    <definedName name="WY_HE_default">'Exposure Factors'!$C$9</definedName>
    <definedName name="WY_HE_women">'Exposure Factors'!$D$9</definedName>
    <definedName name="WY_high" localSheetId="0">#REF!</definedName>
    <definedName name="WY_high">'List Values'!$K$34</definedName>
    <definedName name="WY_mid" localSheetId="0">#REF!</definedName>
    <definedName name="WY_mid">'List Values'!$K$33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2" i="37" l="1"/>
  <c r="J52" i="37"/>
  <c r="K39" i="37" l="1"/>
  <c r="J39" i="37"/>
  <c r="R224" i="45" l="1"/>
  <c r="Q224" i="45"/>
  <c r="P224" i="45"/>
  <c r="O224" i="45"/>
  <c r="R222" i="45"/>
  <c r="Q222" i="45"/>
  <c r="P222" i="45"/>
  <c r="O222" i="45"/>
  <c r="R188" i="45"/>
  <c r="Q188" i="45"/>
  <c r="P188" i="45"/>
  <c r="O188" i="45"/>
  <c r="R186" i="45"/>
  <c r="Q186" i="45"/>
  <c r="P186" i="45"/>
  <c r="O186" i="45"/>
  <c r="R300" i="45" l="1"/>
  <c r="Q300" i="45"/>
  <c r="P300" i="45"/>
  <c r="O300" i="45"/>
  <c r="R298" i="45"/>
  <c r="Q298" i="45"/>
  <c r="P298" i="45"/>
  <c r="O298" i="45"/>
  <c r="R288" i="45"/>
  <c r="Q288" i="45"/>
  <c r="P288" i="45"/>
  <c r="O288" i="45"/>
  <c r="R286" i="45"/>
  <c r="Q286" i="45"/>
  <c r="P286" i="45"/>
  <c r="O286" i="45"/>
  <c r="R276" i="45"/>
  <c r="Q276" i="45"/>
  <c r="P276" i="45"/>
  <c r="O276" i="45"/>
  <c r="R274" i="45"/>
  <c r="Q274" i="45"/>
  <c r="P274" i="45"/>
  <c r="O274" i="45"/>
  <c r="R264" i="45"/>
  <c r="Q264" i="45"/>
  <c r="P264" i="45"/>
  <c r="O264" i="45"/>
  <c r="R262" i="45"/>
  <c r="Q262" i="45"/>
  <c r="P262" i="45"/>
  <c r="O262" i="45"/>
  <c r="R244" i="45"/>
  <c r="Q244" i="45"/>
  <c r="P244" i="45"/>
  <c r="O244" i="45"/>
  <c r="R242" i="45"/>
  <c r="Q242" i="45"/>
  <c r="P242" i="45"/>
  <c r="O242" i="45"/>
  <c r="R208" i="45"/>
  <c r="Q208" i="45"/>
  <c r="P208" i="45"/>
  <c r="O208" i="45"/>
  <c r="R206" i="45"/>
  <c r="Q206" i="45"/>
  <c r="P206" i="45"/>
  <c r="O206" i="45"/>
  <c r="R176" i="45"/>
  <c r="Q176" i="45"/>
  <c r="P176" i="45"/>
  <c r="O176" i="45"/>
  <c r="R174" i="45"/>
  <c r="Q174" i="45"/>
  <c r="P174" i="45"/>
  <c r="O174" i="45"/>
  <c r="R68" i="45"/>
  <c r="Q68" i="45"/>
  <c r="P68" i="45"/>
  <c r="O68" i="45"/>
  <c r="R66" i="45"/>
  <c r="Q66" i="45"/>
  <c r="P66" i="45"/>
  <c r="O66" i="45"/>
  <c r="R64" i="45"/>
  <c r="Q64" i="45"/>
  <c r="P64" i="45"/>
  <c r="O64" i="45"/>
  <c r="R62" i="45"/>
  <c r="Q62" i="45"/>
  <c r="P62" i="45"/>
  <c r="O62" i="45"/>
  <c r="R144" i="45"/>
  <c r="Q144" i="45"/>
  <c r="P144" i="45"/>
  <c r="O144" i="45"/>
  <c r="R142" i="45"/>
  <c r="Q142" i="45"/>
  <c r="P142" i="45"/>
  <c r="O142" i="45"/>
  <c r="R140" i="45"/>
  <c r="Q140" i="45"/>
  <c r="P140" i="45"/>
  <c r="O140" i="45"/>
  <c r="R138" i="45"/>
  <c r="Q138" i="45"/>
  <c r="P138" i="45"/>
  <c r="O138" i="45"/>
  <c r="R136" i="45"/>
  <c r="Q136" i="45"/>
  <c r="P136" i="45"/>
  <c r="O136" i="45"/>
  <c r="R134" i="45"/>
  <c r="Q134" i="45"/>
  <c r="P134" i="45"/>
  <c r="O134" i="45"/>
  <c r="R132" i="45"/>
  <c r="Q132" i="45"/>
  <c r="P132" i="45"/>
  <c r="O132" i="45"/>
  <c r="R130" i="45"/>
  <c r="Q130" i="45"/>
  <c r="P130" i="45"/>
  <c r="O130" i="45"/>
  <c r="O146" i="45"/>
  <c r="P146" i="45"/>
  <c r="Q146" i="45"/>
  <c r="R146" i="45"/>
  <c r="O148" i="45"/>
  <c r="P148" i="45"/>
  <c r="Q148" i="45"/>
  <c r="R148" i="45"/>
  <c r="O150" i="45"/>
  <c r="P150" i="45"/>
  <c r="Q150" i="45"/>
  <c r="R150" i="45"/>
  <c r="O152" i="45"/>
  <c r="P152" i="45"/>
  <c r="Q152" i="45"/>
  <c r="R152" i="45"/>
  <c r="R164" i="45" l="1"/>
  <c r="Q164" i="45"/>
  <c r="P164" i="45"/>
  <c r="O164" i="45"/>
  <c r="R162" i="45"/>
  <c r="Q162" i="45"/>
  <c r="P162" i="45"/>
  <c r="O162" i="45"/>
  <c r="R168" i="45"/>
  <c r="Q168" i="45"/>
  <c r="P168" i="45"/>
  <c r="O168" i="45"/>
  <c r="R166" i="45"/>
  <c r="Q166" i="45"/>
  <c r="P166" i="45"/>
  <c r="O166" i="45"/>
  <c r="J10" i="40" l="1"/>
  <c r="R200" i="45"/>
  <c r="Q200" i="45"/>
  <c r="P200" i="45"/>
  <c r="O200" i="45"/>
  <c r="R198" i="45"/>
  <c r="Q198" i="45"/>
  <c r="P198" i="45"/>
  <c r="O198" i="45"/>
  <c r="R172" i="45"/>
  <c r="Q172" i="45"/>
  <c r="P172" i="45"/>
  <c r="O172" i="45"/>
  <c r="R170" i="45"/>
  <c r="Q170" i="45"/>
  <c r="P170" i="45"/>
  <c r="O170" i="45"/>
  <c r="U28" i="40" l="1"/>
  <c r="U26" i="40"/>
  <c r="W29" i="40"/>
  <c r="W27" i="40"/>
  <c r="W28" i="40"/>
  <c r="W26" i="40"/>
  <c r="S4" i="40" l="1"/>
  <c r="R320" i="45"/>
  <c r="Q320" i="45"/>
  <c r="P320" i="45"/>
  <c r="O320" i="45"/>
  <c r="R318" i="45"/>
  <c r="Q318" i="45"/>
  <c r="P318" i="45"/>
  <c r="O318" i="45"/>
  <c r="R312" i="45"/>
  <c r="Q312" i="45"/>
  <c r="P312" i="45"/>
  <c r="O312" i="45"/>
  <c r="R310" i="45"/>
  <c r="Q310" i="45"/>
  <c r="P310" i="45"/>
  <c r="O310" i="45"/>
  <c r="T2" i="42" l="1"/>
  <c r="R2" i="42"/>
  <c r="P2" i="42"/>
  <c r="T1" i="42"/>
  <c r="T13" i="42" s="1"/>
  <c r="R1" i="42"/>
  <c r="R14" i="42" s="1"/>
  <c r="P1" i="42"/>
  <c r="S2" i="42"/>
  <c r="S1" i="42"/>
  <c r="S8" i="42" s="1"/>
  <c r="Q2" i="42"/>
  <c r="Q1" i="42"/>
  <c r="Q8" i="42" s="1"/>
  <c r="O2" i="42"/>
  <c r="O1" i="42"/>
  <c r="O55" i="53"/>
  <c r="N55" i="53"/>
  <c r="O54" i="53"/>
  <c r="N54" i="53"/>
  <c r="O53" i="53"/>
  <c r="N53" i="53"/>
  <c r="O52" i="53"/>
  <c r="N52" i="53"/>
  <c r="O51" i="53"/>
  <c r="N51" i="53"/>
  <c r="O50" i="53"/>
  <c r="N50" i="53"/>
  <c r="O49" i="53"/>
  <c r="N49" i="53"/>
  <c r="O42" i="53"/>
  <c r="N42" i="53"/>
  <c r="O41" i="53"/>
  <c r="N41" i="53"/>
  <c r="O38" i="53"/>
  <c r="N38" i="53"/>
  <c r="O34" i="53"/>
  <c r="N34" i="53"/>
  <c r="O33" i="53"/>
  <c r="N33" i="53"/>
  <c r="O32" i="53"/>
  <c r="N32" i="53"/>
  <c r="O31" i="53"/>
  <c r="N31" i="53"/>
  <c r="O30" i="53"/>
  <c r="N30" i="53"/>
  <c r="O29" i="53"/>
  <c r="N29" i="53"/>
  <c r="O28" i="53"/>
  <c r="N28" i="53"/>
  <c r="O27" i="53"/>
  <c r="N27" i="53"/>
  <c r="O26" i="53"/>
  <c r="N26" i="53"/>
  <c r="O25" i="53"/>
  <c r="N25" i="53"/>
  <c r="O24" i="53"/>
  <c r="N24" i="53"/>
  <c r="O23" i="53"/>
  <c r="N23" i="53"/>
  <c r="O21" i="53"/>
  <c r="N21" i="53"/>
  <c r="O20" i="53"/>
  <c r="N20" i="53"/>
  <c r="O19" i="53"/>
  <c r="N19" i="53"/>
  <c r="O18" i="53"/>
  <c r="N18" i="53"/>
  <c r="O17" i="53"/>
  <c r="N17" i="53"/>
  <c r="O15" i="53"/>
  <c r="N15" i="53"/>
  <c r="O14" i="53"/>
  <c r="N14" i="53"/>
  <c r="O13" i="53"/>
  <c r="N13" i="53"/>
  <c r="O12" i="53"/>
  <c r="N12" i="53"/>
  <c r="O11" i="53"/>
  <c r="N11" i="53"/>
  <c r="O10" i="53"/>
  <c r="N10" i="53"/>
  <c r="O9" i="53"/>
  <c r="N9" i="53"/>
  <c r="O8" i="53"/>
  <c r="N8" i="53"/>
  <c r="O7" i="53"/>
  <c r="N7" i="53"/>
  <c r="O6" i="53"/>
  <c r="N6" i="53"/>
  <c r="O2" i="53"/>
  <c r="N2" i="53"/>
  <c r="O1" i="53"/>
  <c r="O46" i="53" s="1"/>
  <c r="N1" i="53"/>
  <c r="N46" i="53" s="1"/>
  <c r="AC2" i="37"/>
  <c r="AC1" i="37"/>
  <c r="AA2" i="37"/>
  <c r="AA1" i="37"/>
  <c r="Y2" i="37"/>
  <c r="Y1" i="37"/>
  <c r="Y56" i="37" s="1"/>
  <c r="AB1" i="37"/>
  <c r="Z1" i="37"/>
  <c r="X1" i="37"/>
  <c r="X56" i="37" s="1"/>
  <c r="AB2" i="37"/>
  <c r="Z2" i="37"/>
  <c r="X2" i="37"/>
  <c r="O8" i="45"/>
  <c r="K8" i="45"/>
  <c r="R6" i="42" l="1"/>
  <c r="R7" i="42"/>
  <c r="R8" i="42"/>
  <c r="R9" i="42"/>
  <c r="S17" i="42"/>
  <c r="T8" i="42"/>
  <c r="S16" i="42"/>
  <c r="S7" i="42"/>
  <c r="T9" i="42"/>
  <c r="T10" i="42"/>
  <c r="T18" i="42"/>
  <c r="Y44" i="37"/>
  <c r="X44" i="37"/>
  <c r="Y47" i="37"/>
  <c r="Y40" i="37"/>
  <c r="Y41" i="37"/>
  <c r="Y65" i="37"/>
  <c r="Y42" i="37"/>
  <c r="Y43" i="37"/>
  <c r="Y48" i="37"/>
  <c r="Y49" i="37"/>
  <c r="X43" i="37"/>
  <c r="X48" i="37"/>
  <c r="X49" i="37"/>
  <c r="X42" i="37"/>
  <c r="X47" i="37"/>
  <c r="X40" i="37"/>
  <c r="X41" i="37"/>
  <c r="X65" i="37"/>
  <c r="N43" i="53"/>
  <c r="O47" i="53"/>
  <c r="N47" i="53"/>
  <c r="N35" i="53"/>
  <c r="Y68" i="37"/>
  <c r="Y21" i="37"/>
  <c r="Y60" i="37"/>
  <c r="Y63" i="37"/>
  <c r="Y59" i="37"/>
  <c r="Y7" i="37"/>
  <c r="Y70" i="37"/>
  <c r="Y45" i="37"/>
  <c r="Y57" i="37"/>
  <c r="Y55" i="37"/>
  <c r="Y10" i="37"/>
  <c r="Y64" i="37"/>
  <c r="Y25" i="37"/>
  <c r="Y6" i="37"/>
  <c r="Y36" i="37"/>
  <c r="Y51" i="37"/>
  <c r="Y27" i="37"/>
  <c r="X9" i="37"/>
  <c r="X11" i="37"/>
  <c r="X16" i="37"/>
  <c r="X19" i="37"/>
  <c r="X20" i="37"/>
  <c r="X30" i="37"/>
  <c r="X34" i="37"/>
  <c r="X22" i="37"/>
  <c r="X28" i="37"/>
  <c r="X37" i="37"/>
  <c r="X26" i="37"/>
  <c r="X61" i="37"/>
  <c r="X58" i="37"/>
  <c r="X54" i="37"/>
  <c r="X50" i="37"/>
  <c r="X67" i="37"/>
  <c r="X69" i="37"/>
  <c r="X10" i="37"/>
  <c r="X60" i="37"/>
  <c r="X7" i="37"/>
  <c r="X21" i="37"/>
  <c r="X27" i="37"/>
  <c r="X14" i="37"/>
  <c r="X17" i="37"/>
  <c r="X32" i="37"/>
  <c r="X29" i="37"/>
  <c r="X38" i="37"/>
  <c r="X62" i="37"/>
  <c r="X53" i="37"/>
  <c r="X46" i="37"/>
  <c r="X66" i="37"/>
  <c r="X63" i="37"/>
  <c r="X57" i="37"/>
  <c r="X31" i="37"/>
  <c r="X18" i="37"/>
  <c r="X59" i="37"/>
  <c r="X45" i="37"/>
  <c r="X25" i="37"/>
  <c r="X23" i="37"/>
  <c r="X12" i="37"/>
  <c r="X55" i="37"/>
  <c r="X15" i="37"/>
  <c r="X68" i="37"/>
  <c r="X36" i="37"/>
  <c r="X33" i="37"/>
  <c r="X8" i="37"/>
  <c r="X70" i="37"/>
  <c r="X64" i="37"/>
  <c r="X13" i="37"/>
  <c r="X6" i="37"/>
  <c r="X51" i="37"/>
  <c r="Y66" i="37"/>
  <c r="Y46" i="37"/>
  <c r="Y53" i="37"/>
  <c r="Y62" i="37"/>
  <c r="Y38" i="37"/>
  <c r="Y29" i="37"/>
  <c r="Y32" i="37"/>
  <c r="Y17" i="37"/>
  <c r="Y14" i="37"/>
  <c r="Y23" i="37"/>
  <c r="Y31" i="37"/>
  <c r="Y33" i="37"/>
  <c r="Y18" i="37"/>
  <c r="Y15" i="37"/>
  <c r="Y13" i="37"/>
  <c r="Y12" i="37"/>
  <c r="Y8" i="37"/>
  <c r="Y69" i="37"/>
  <c r="Y67" i="37"/>
  <c r="Y50" i="37"/>
  <c r="Y54" i="37"/>
  <c r="Y58" i="37"/>
  <c r="Y61" i="37"/>
  <c r="Y26" i="37"/>
  <c r="Y37" i="37"/>
  <c r="Y28" i="37"/>
  <c r="Y22" i="37"/>
  <c r="Y34" i="37"/>
  <c r="Y30" i="37"/>
  <c r="Y20" i="37"/>
  <c r="Y19" i="37"/>
  <c r="Y16" i="37"/>
  <c r="Y11" i="37"/>
  <c r="Y9" i="37"/>
  <c r="N39" i="53"/>
  <c r="O35" i="53"/>
  <c r="O39" i="53"/>
  <c r="O43" i="53"/>
  <c r="N16" i="53"/>
  <c r="N36" i="53"/>
  <c r="N40" i="53"/>
  <c r="N44" i="53"/>
  <c r="O16" i="53"/>
  <c r="O36" i="53"/>
  <c r="O40" i="53"/>
  <c r="O44" i="53"/>
  <c r="N37" i="53"/>
  <c r="O37" i="53"/>
  <c r="N22" i="53"/>
  <c r="N45" i="53"/>
  <c r="O22" i="53"/>
  <c r="O45" i="53"/>
  <c r="R13" i="42"/>
  <c r="T11" i="42"/>
  <c r="R11" i="42"/>
  <c r="T7" i="42"/>
  <c r="S10" i="42"/>
  <c r="T12" i="42"/>
  <c r="Q16" i="42"/>
  <c r="S18" i="42"/>
  <c r="S13" i="42"/>
  <c r="Q13" i="42"/>
  <c r="R12" i="42"/>
  <c r="Q6" i="42"/>
  <c r="S12" i="42"/>
  <c r="S14" i="42"/>
  <c r="S9" i="42"/>
  <c r="R10" i="42"/>
  <c r="R18" i="42"/>
  <c r="T16" i="42"/>
  <c r="T17" i="42"/>
  <c r="Q18" i="42"/>
  <c r="S6" i="42"/>
  <c r="Q12" i="42"/>
  <c r="Q14" i="42"/>
  <c r="Q9" i="42"/>
  <c r="R16" i="42"/>
  <c r="R17" i="42"/>
  <c r="T15" i="42"/>
  <c r="T19" i="42"/>
  <c r="Q10" i="42"/>
  <c r="S19" i="42"/>
  <c r="S11" i="42"/>
  <c r="S15" i="42"/>
  <c r="R15" i="42"/>
  <c r="R19" i="42"/>
  <c r="T14" i="42"/>
  <c r="Q17" i="42"/>
  <c r="Q7" i="42"/>
  <c r="Q19" i="42"/>
  <c r="Q11" i="42"/>
  <c r="Q15" i="42"/>
  <c r="T6" i="42"/>
  <c r="J13" i="40"/>
  <c r="J12" i="40"/>
  <c r="J11" i="40"/>
  <c r="J22" i="40"/>
  <c r="J23" i="40"/>
  <c r="H22" i="40"/>
  <c r="F22" i="40"/>
  <c r="D22" i="40"/>
  <c r="K11" i="40"/>
  <c r="K10" i="40"/>
  <c r="K13" i="40"/>
  <c r="K12" i="40"/>
  <c r="K23" i="40" l="1"/>
  <c r="O23" i="40" s="1"/>
  <c r="K25" i="40"/>
  <c r="K24" i="40"/>
  <c r="K22" i="40"/>
  <c r="M22" i="40" s="1"/>
  <c r="M23" i="40" l="1"/>
  <c r="L23" i="40"/>
  <c r="P23" i="40"/>
  <c r="N23" i="40"/>
  <c r="L22" i="40"/>
  <c r="N22" i="40"/>
  <c r="O22" i="40"/>
  <c r="P22" i="40"/>
  <c r="S26" i="40" l="1"/>
  <c r="R324" i="45"/>
  <c r="Q324" i="45"/>
  <c r="P324" i="45"/>
  <c r="O324" i="45"/>
  <c r="R322" i="45"/>
  <c r="Q322" i="45"/>
  <c r="P322" i="45"/>
  <c r="O322" i="45"/>
  <c r="R292" i="45"/>
  <c r="Q292" i="45"/>
  <c r="P292" i="45"/>
  <c r="O292" i="45"/>
  <c r="R290" i="45"/>
  <c r="Q290" i="45"/>
  <c r="P290" i="45"/>
  <c r="O290" i="45"/>
  <c r="R304" i="45"/>
  <c r="Q304" i="45"/>
  <c r="P304" i="45"/>
  <c r="O304" i="45"/>
  <c r="R302" i="45"/>
  <c r="Q302" i="45"/>
  <c r="P302" i="45"/>
  <c r="O302" i="45"/>
  <c r="R180" i="45"/>
  <c r="Q180" i="45"/>
  <c r="P180" i="45"/>
  <c r="O180" i="45"/>
  <c r="R178" i="45"/>
  <c r="Q178" i="45"/>
  <c r="P178" i="45"/>
  <c r="O178" i="45"/>
  <c r="R212" i="45"/>
  <c r="Q212" i="45"/>
  <c r="P212" i="45"/>
  <c r="O212" i="45"/>
  <c r="R210" i="45"/>
  <c r="Q210" i="45"/>
  <c r="P210" i="45"/>
  <c r="O210" i="45"/>
  <c r="R232" i="45"/>
  <c r="Q232" i="45"/>
  <c r="P232" i="45"/>
  <c r="O232" i="45"/>
  <c r="R230" i="45"/>
  <c r="Q230" i="45"/>
  <c r="P230" i="45"/>
  <c r="O230" i="45"/>
  <c r="R248" i="45"/>
  <c r="Q248" i="45"/>
  <c r="P248" i="45"/>
  <c r="O248" i="45"/>
  <c r="R246" i="45"/>
  <c r="Q246" i="45"/>
  <c r="P246" i="45"/>
  <c r="O246" i="45"/>
  <c r="R268" i="45"/>
  <c r="Q268" i="45"/>
  <c r="P268" i="45"/>
  <c r="O268" i="45"/>
  <c r="R266" i="45"/>
  <c r="Q266" i="45"/>
  <c r="P266" i="45"/>
  <c r="O266" i="45"/>
  <c r="R156" i="45"/>
  <c r="Q156" i="45"/>
  <c r="P156" i="45"/>
  <c r="O156" i="45"/>
  <c r="R154" i="45"/>
  <c r="Q154" i="45"/>
  <c r="P154" i="45"/>
  <c r="O154" i="45"/>
  <c r="R96" i="45"/>
  <c r="Q96" i="45"/>
  <c r="P96" i="45"/>
  <c r="O96" i="45"/>
  <c r="R94" i="45"/>
  <c r="Q94" i="45"/>
  <c r="P94" i="45"/>
  <c r="O94" i="45"/>
  <c r="R72" i="45"/>
  <c r="Q72" i="45"/>
  <c r="P72" i="45"/>
  <c r="O72" i="45"/>
  <c r="R70" i="45"/>
  <c r="Q70" i="45"/>
  <c r="P70" i="45"/>
  <c r="O70" i="45"/>
  <c r="R52" i="45"/>
  <c r="Q52" i="45"/>
  <c r="P52" i="45"/>
  <c r="O52" i="45"/>
  <c r="R50" i="45"/>
  <c r="Q50" i="45"/>
  <c r="P50" i="45"/>
  <c r="O50" i="45"/>
  <c r="R32" i="45"/>
  <c r="Q32" i="45"/>
  <c r="P32" i="45"/>
  <c r="O32" i="45"/>
  <c r="R30" i="45"/>
  <c r="Q30" i="45"/>
  <c r="P30" i="45"/>
  <c r="O30" i="45"/>
  <c r="P323" i="45"/>
  <c r="O323" i="45"/>
  <c r="P321" i="45"/>
  <c r="O321" i="45"/>
  <c r="R316" i="45"/>
  <c r="Q316" i="45"/>
  <c r="P316" i="45"/>
  <c r="O316" i="45"/>
  <c r="R314" i="45"/>
  <c r="Q314" i="45"/>
  <c r="P314" i="45"/>
  <c r="O314" i="45"/>
  <c r="R308" i="45"/>
  <c r="Q308" i="45"/>
  <c r="P308" i="45"/>
  <c r="O308" i="45"/>
  <c r="R306" i="45"/>
  <c r="Q306" i="45"/>
  <c r="P306" i="45"/>
  <c r="O306" i="45"/>
  <c r="P291" i="45"/>
  <c r="O291" i="45"/>
  <c r="P289" i="45"/>
  <c r="O289" i="45"/>
  <c r="R284" i="45"/>
  <c r="Q284" i="45"/>
  <c r="P284" i="45"/>
  <c r="O284" i="45"/>
  <c r="R282" i="45"/>
  <c r="Q282" i="45"/>
  <c r="P282" i="45"/>
  <c r="O282" i="45"/>
  <c r="P303" i="45"/>
  <c r="O303" i="45"/>
  <c r="P301" i="45"/>
  <c r="O301" i="45"/>
  <c r="R296" i="45"/>
  <c r="Q296" i="45"/>
  <c r="P296" i="45"/>
  <c r="O296" i="45"/>
  <c r="R294" i="45"/>
  <c r="Q294" i="45"/>
  <c r="P294" i="45"/>
  <c r="O294" i="45"/>
  <c r="P179" i="45"/>
  <c r="O179" i="45"/>
  <c r="P177" i="45"/>
  <c r="O177" i="45"/>
  <c r="R160" i="45"/>
  <c r="Q160" i="45"/>
  <c r="P160" i="45"/>
  <c r="O160" i="45"/>
  <c r="R158" i="45"/>
  <c r="Q158" i="45"/>
  <c r="P158" i="45"/>
  <c r="O158" i="45"/>
  <c r="P211" i="45"/>
  <c r="O211" i="45"/>
  <c r="P209" i="45"/>
  <c r="O209" i="45"/>
  <c r="R204" i="45"/>
  <c r="Q204" i="45"/>
  <c r="P204" i="45"/>
  <c r="O204" i="45"/>
  <c r="R202" i="45"/>
  <c r="Q202" i="45"/>
  <c r="P202" i="45"/>
  <c r="O202" i="45"/>
  <c r="R196" i="45"/>
  <c r="Q196" i="45"/>
  <c r="P196" i="45"/>
  <c r="O196" i="45"/>
  <c r="R194" i="45"/>
  <c r="Q194" i="45"/>
  <c r="P194" i="45"/>
  <c r="O194" i="45"/>
  <c r="R192" i="45"/>
  <c r="Q192" i="45"/>
  <c r="P192" i="45"/>
  <c r="O192" i="45"/>
  <c r="R190" i="45"/>
  <c r="Q190" i="45"/>
  <c r="P190" i="45"/>
  <c r="O190" i="45"/>
  <c r="R184" i="45"/>
  <c r="Q184" i="45"/>
  <c r="P184" i="45"/>
  <c r="O184" i="45"/>
  <c r="R182" i="45"/>
  <c r="Q182" i="45"/>
  <c r="P182" i="45"/>
  <c r="O182" i="45"/>
  <c r="P231" i="45"/>
  <c r="O231" i="45"/>
  <c r="P229" i="45"/>
  <c r="O229" i="45"/>
  <c r="R228" i="45"/>
  <c r="Q228" i="45"/>
  <c r="P228" i="45"/>
  <c r="O228" i="45"/>
  <c r="R226" i="45"/>
  <c r="Q226" i="45"/>
  <c r="P226" i="45"/>
  <c r="O226" i="45"/>
  <c r="R220" i="45"/>
  <c r="Q220" i="45"/>
  <c r="P220" i="45"/>
  <c r="O220" i="45"/>
  <c r="R218" i="45"/>
  <c r="Q218" i="45"/>
  <c r="P218" i="45"/>
  <c r="O218" i="45"/>
  <c r="R216" i="45"/>
  <c r="Q216" i="45"/>
  <c r="P216" i="45"/>
  <c r="O216" i="45"/>
  <c r="R214" i="45"/>
  <c r="Q214" i="45"/>
  <c r="P214" i="45"/>
  <c r="O214" i="45"/>
  <c r="P247" i="45"/>
  <c r="O247" i="45"/>
  <c r="P245" i="45"/>
  <c r="O245" i="45"/>
  <c r="R240" i="45"/>
  <c r="Q240" i="45"/>
  <c r="P240" i="45"/>
  <c r="O240" i="45"/>
  <c r="R238" i="45"/>
  <c r="Q238" i="45"/>
  <c r="P238" i="45"/>
  <c r="O238" i="45"/>
  <c r="R236" i="45"/>
  <c r="Q236" i="45"/>
  <c r="P236" i="45"/>
  <c r="O236" i="45"/>
  <c r="R234" i="45"/>
  <c r="Q234" i="45"/>
  <c r="P234" i="45"/>
  <c r="O234" i="45"/>
  <c r="P267" i="45"/>
  <c r="O267" i="45"/>
  <c r="P265" i="45"/>
  <c r="O265" i="45"/>
  <c r="R260" i="45"/>
  <c r="Q260" i="45"/>
  <c r="P260" i="45"/>
  <c r="O260" i="45"/>
  <c r="R258" i="45"/>
  <c r="Q258" i="45"/>
  <c r="P258" i="45"/>
  <c r="O258" i="45"/>
  <c r="R256" i="45"/>
  <c r="Q256" i="45"/>
  <c r="P256" i="45"/>
  <c r="O256" i="45"/>
  <c r="R254" i="45"/>
  <c r="Q254" i="45"/>
  <c r="P254" i="45"/>
  <c r="O254" i="45"/>
  <c r="R252" i="45"/>
  <c r="Q252" i="45"/>
  <c r="P252" i="45"/>
  <c r="O252" i="45"/>
  <c r="R250" i="45"/>
  <c r="Q250" i="45"/>
  <c r="P250" i="45"/>
  <c r="O250" i="45"/>
  <c r="R280" i="45"/>
  <c r="Q280" i="45"/>
  <c r="P280" i="45"/>
  <c r="O280" i="45"/>
  <c r="P279" i="45"/>
  <c r="O279" i="45"/>
  <c r="R278" i="45"/>
  <c r="Q278" i="45"/>
  <c r="P278" i="45"/>
  <c r="O278" i="45"/>
  <c r="P277" i="45"/>
  <c r="O277" i="45"/>
  <c r="R272" i="45"/>
  <c r="Q272" i="45"/>
  <c r="P272" i="45"/>
  <c r="O272" i="45"/>
  <c r="R270" i="45"/>
  <c r="Q270" i="45"/>
  <c r="P270" i="45"/>
  <c r="O270" i="45"/>
  <c r="P155" i="45"/>
  <c r="O155" i="45"/>
  <c r="P153" i="45"/>
  <c r="O153" i="45"/>
  <c r="R128" i="45"/>
  <c r="Q128" i="45"/>
  <c r="P128" i="45"/>
  <c r="O128" i="45"/>
  <c r="R126" i="45"/>
  <c r="Q126" i="45"/>
  <c r="P126" i="45"/>
  <c r="O126" i="45"/>
  <c r="R124" i="45"/>
  <c r="Q124" i="45"/>
  <c r="P124" i="45"/>
  <c r="O124" i="45"/>
  <c r="R122" i="45"/>
  <c r="Q122" i="45"/>
  <c r="P122" i="45"/>
  <c r="O122" i="45"/>
  <c r="R120" i="45"/>
  <c r="Q120" i="45"/>
  <c r="P120" i="45"/>
  <c r="O120" i="45"/>
  <c r="R118" i="45"/>
  <c r="Q118" i="45"/>
  <c r="P118" i="45"/>
  <c r="O118" i="45"/>
  <c r="R116" i="45"/>
  <c r="Q116" i="45"/>
  <c r="P116" i="45"/>
  <c r="O116" i="45"/>
  <c r="R114" i="45"/>
  <c r="Q114" i="45"/>
  <c r="P114" i="45"/>
  <c r="O114" i="45"/>
  <c r="R112" i="45"/>
  <c r="Q112" i="45"/>
  <c r="P112" i="45"/>
  <c r="O112" i="45"/>
  <c r="R110" i="45"/>
  <c r="Q110" i="45"/>
  <c r="P110" i="45"/>
  <c r="O110" i="45"/>
  <c r="R108" i="45"/>
  <c r="Q108" i="45"/>
  <c r="P108" i="45"/>
  <c r="O108" i="45"/>
  <c r="R106" i="45"/>
  <c r="Q106" i="45"/>
  <c r="P106" i="45"/>
  <c r="O106" i="45"/>
  <c r="R104" i="45"/>
  <c r="Q104" i="45"/>
  <c r="P104" i="45"/>
  <c r="O104" i="45"/>
  <c r="R102" i="45"/>
  <c r="Q102" i="45"/>
  <c r="P102" i="45"/>
  <c r="O102" i="45"/>
  <c r="R100" i="45"/>
  <c r="Q100" i="45"/>
  <c r="P100" i="45"/>
  <c r="O100" i="45"/>
  <c r="R98" i="45"/>
  <c r="Q98" i="45"/>
  <c r="P98" i="45"/>
  <c r="O98" i="45"/>
  <c r="P95" i="45"/>
  <c r="O95" i="45"/>
  <c r="P93" i="45"/>
  <c r="O93" i="45"/>
  <c r="R92" i="45"/>
  <c r="Q92" i="45"/>
  <c r="P92" i="45"/>
  <c r="O92" i="45"/>
  <c r="R90" i="45"/>
  <c r="Q90" i="45"/>
  <c r="P90" i="45"/>
  <c r="O90" i="45"/>
  <c r="R88" i="45"/>
  <c r="Q88" i="45"/>
  <c r="P88" i="45"/>
  <c r="O88" i="45"/>
  <c r="R86" i="45"/>
  <c r="Q86" i="45"/>
  <c r="P86" i="45"/>
  <c r="O86" i="45"/>
  <c r="R84" i="45"/>
  <c r="Q84" i="45"/>
  <c r="P84" i="45"/>
  <c r="O84" i="45"/>
  <c r="R82" i="45"/>
  <c r="Q82" i="45"/>
  <c r="P82" i="45"/>
  <c r="O82" i="45"/>
  <c r="R80" i="45"/>
  <c r="Q80" i="45"/>
  <c r="P80" i="45"/>
  <c r="O80" i="45"/>
  <c r="R78" i="45"/>
  <c r="Q78" i="45"/>
  <c r="P78" i="45"/>
  <c r="O78" i="45"/>
  <c r="R76" i="45"/>
  <c r="Q76" i="45"/>
  <c r="P76" i="45"/>
  <c r="O76" i="45"/>
  <c r="R74" i="45"/>
  <c r="Q74" i="45"/>
  <c r="P74" i="45"/>
  <c r="O74" i="45"/>
  <c r="P71" i="45"/>
  <c r="O71" i="45"/>
  <c r="P69" i="45"/>
  <c r="O69" i="45"/>
  <c r="R60" i="45"/>
  <c r="Q60" i="45"/>
  <c r="P60" i="45"/>
  <c r="O60" i="45"/>
  <c r="R58" i="45"/>
  <c r="Q58" i="45"/>
  <c r="P58" i="45"/>
  <c r="O58" i="45"/>
  <c r="R56" i="45"/>
  <c r="Q56" i="45"/>
  <c r="P56" i="45"/>
  <c r="O56" i="45"/>
  <c r="R54" i="45"/>
  <c r="Q54" i="45"/>
  <c r="P54" i="45"/>
  <c r="O54" i="45"/>
  <c r="P51" i="45"/>
  <c r="O51" i="45"/>
  <c r="P49" i="45"/>
  <c r="O49" i="45"/>
  <c r="R48" i="45"/>
  <c r="Q48" i="45"/>
  <c r="P48" i="45"/>
  <c r="O48" i="45"/>
  <c r="R46" i="45"/>
  <c r="Q46" i="45"/>
  <c r="P46" i="45"/>
  <c r="O46" i="45"/>
  <c r="R44" i="45"/>
  <c r="Q44" i="45"/>
  <c r="P44" i="45"/>
  <c r="O44" i="45"/>
  <c r="R42" i="45"/>
  <c r="Q42" i="45"/>
  <c r="P42" i="45"/>
  <c r="O42" i="45"/>
  <c r="R40" i="45"/>
  <c r="Q40" i="45"/>
  <c r="P40" i="45"/>
  <c r="O40" i="45"/>
  <c r="R38" i="45"/>
  <c r="Q38" i="45"/>
  <c r="P38" i="45"/>
  <c r="O38" i="45"/>
  <c r="R36" i="45"/>
  <c r="Q36" i="45"/>
  <c r="P36" i="45"/>
  <c r="O36" i="45"/>
  <c r="R34" i="45"/>
  <c r="Q34" i="45"/>
  <c r="P34" i="45"/>
  <c r="O34" i="45"/>
  <c r="P31" i="45"/>
  <c r="O31" i="45"/>
  <c r="P29" i="45"/>
  <c r="O29" i="45"/>
  <c r="R28" i="45"/>
  <c r="Q28" i="45"/>
  <c r="P28" i="45"/>
  <c r="O28" i="45"/>
  <c r="R26" i="45"/>
  <c r="Q26" i="45"/>
  <c r="P26" i="45"/>
  <c r="O26" i="45"/>
  <c r="R24" i="45"/>
  <c r="Q24" i="45"/>
  <c r="P24" i="45"/>
  <c r="O24" i="45"/>
  <c r="R22" i="45"/>
  <c r="Q22" i="45"/>
  <c r="P22" i="45"/>
  <c r="O22" i="45"/>
  <c r="R20" i="45"/>
  <c r="Q20" i="45"/>
  <c r="P20" i="45"/>
  <c r="O20" i="45"/>
  <c r="R18" i="45"/>
  <c r="Q18" i="45"/>
  <c r="P18" i="45"/>
  <c r="O18" i="45"/>
  <c r="R16" i="45"/>
  <c r="Q16" i="45"/>
  <c r="P16" i="45"/>
  <c r="O16" i="45"/>
  <c r="R14" i="45"/>
  <c r="Q14" i="45"/>
  <c r="P14" i="45"/>
  <c r="O14" i="45"/>
  <c r="R12" i="45"/>
  <c r="Q12" i="45"/>
  <c r="P12" i="45"/>
  <c r="O12" i="45"/>
  <c r="P8" i="45"/>
  <c r="R8" i="45"/>
  <c r="Q8" i="45"/>
  <c r="L5" i="45"/>
  <c r="L4" i="45"/>
  <c r="L8" i="45" l="1"/>
  <c r="Z10" i="45"/>
  <c r="W10" i="40" l="1"/>
  <c r="X11" i="40"/>
  <c r="U11" i="40"/>
  <c r="W11" i="40"/>
  <c r="U10" i="40"/>
  <c r="V11" i="40"/>
  <c r="X10" i="40"/>
  <c r="V10" i="40"/>
  <c r="AA9" i="45" l="1"/>
  <c r="M13" i="39"/>
  <c r="M221" i="45" l="1"/>
  <c r="Q221" i="45" s="1"/>
  <c r="M223" i="45"/>
  <c r="Q223" i="45" s="1"/>
  <c r="M187" i="45"/>
  <c r="Q187" i="45" s="1"/>
  <c r="M185" i="45"/>
  <c r="Q185" i="45" s="1"/>
  <c r="M175" i="45"/>
  <c r="Q175" i="45" s="1"/>
  <c r="M173" i="45"/>
  <c r="Q173" i="45" s="1"/>
  <c r="M65" i="45"/>
  <c r="Q65" i="45" s="1"/>
  <c r="M67" i="45"/>
  <c r="Q67" i="45" s="1"/>
  <c r="K42" i="35"/>
  <c r="K56" i="37" l="1"/>
  <c r="J24" i="37"/>
  <c r="J56" i="37"/>
  <c r="K24" i="37"/>
  <c r="J44" i="37"/>
  <c r="K44" i="37"/>
  <c r="J43" i="37"/>
  <c r="K43" i="37"/>
  <c r="J42" i="37"/>
  <c r="K42" i="37"/>
  <c r="J35" i="37"/>
  <c r="J47" i="37"/>
  <c r="J41" i="37"/>
  <c r="K35" i="37"/>
  <c r="K47" i="37"/>
  <c r="K41" i="37"/>
  <c r="J6" i="37"/>
  <c r="K67" i="37"/>
  <c r="K15" i="37"/>
  <c r="K13" i="37"/>
  <c r="K12" i="37"/>
  <c r="J15" i="37"/>
  <c r="J13" i="37"/>
  <c r="J12" i="37"/>
  <c r="J67" i="37"/>
  <c r="K17" i="37"/>
  <c r="J17" i="37"/>
  <c r="K16" i="37"/>
  <c r="K14" i="37"/>
  <c r="J14" i="37"/>
  <c r="J16" i="37"/>
  <c r="K70" i="37"/>
  <c r="K66" i="37"/>
  <c r="J55" i="37"/>
  <c r="K68" i="37"/>
  <c r="K65" i="37"/>
  <c r="K40" i="37"/>
  <c r="K51" i="37"/>
  <c r="J68" i="37"/>
  <c r="J40" i="37"/>
  <c r="J45" i="37"/>
  <c r="K53" i="37"/>
  <c r="J50" i="37"/>
  <c r="J64" i="37"/>
  <c r="J53" i="37"/>
  <c r="K50" i="37"/>
  <c r="K63" i="37"/>
  <c r="K48" i="37"/>
  <c r="K46" i="37"/>
  <c r="J69" i="37"/>
  <c r="J48" i="37"/>
  <c r="J46" i="37"/>
  <c r="J70" i="37"/>
  <c r="J66" i="37"/>
  <c r="K55" i="37"/>
  <c r="K45" i="37"/>
  <c r="J65" i="37"/>
  <c r="J51" i="37"/>
  <c r="K64" i="37"/>
  <c r="K49" i="37"/>
  <c r="J54" i="37"/>
  <c r="J49" i="37"/>
  <c r="K54" i="37"/>
  <c r="K69" i="37"/>
  <c r="J63" i="37"/>
  <c r="J25" i="37"/>
  <c r="K25" i="37"/>
  <c r="J26" i="37"/>
  <c r="J37" i="37"/>
  <c r="J38" i="37"/>
  <c r="J36" i="37"/>
  <c r="K26" i="37"/>
  <c r="K37" i="37"/>
  <c r="K38" i="37"/>
  <c r="K36" i="37"/>
  <c r="J59" i="37"/>
  <c r="J60" i="37"/>
  <c r="J62" i="37"/>
  <c r="K59" i="37"/>
  <c r="K60" i="37"/>
  <c r="K57" i="37"/>
  <c r="K58" i="37"/>
  <c r="K61" i="37"/>
  <c r="K62" i="37"/>
  <c r="J61" i="37"/>
  <c r="J57" i="37"/>
  <c r="J58" i="37"/>
  <c r="J21" i="37"/>
  <c r="J30" i="37"/>
  <c r="J32" i="37"/>
  <c r="J33" i="37"/>
  <c r="J34" i="37"/>
  <c r="J31" i="37"/>
  <c r="J27" i="37"/>
  <c r="J22" i="37"/>
  <c r="J23" i="37"/>
  <c r="K21" i="37"/>
  <c r="K30" i="37"/>
  <c r="K32" i="37"/>
  <c r="K33" i="37"/>
  <c r="K34" i="37"/>
  <c r="K31" i="37"/>
  <c r="K27" i="37"/>
  <c r="K22" i="37"/>
  <c r="K23" i="37"/>
  <c r="J7" i="37"/>
  <c r="J8" i="37"/>
  <c r="J9" i="37"/>
  <c r="J10" i="37"/>
  <c r="J11" i="37"/>
  <c r="J18" i="37"/>
  <c r="J19" i="37"/>
  <c r="J20" i="37"/>
  <c r="J28" i="37"/>
  <c r="J29" i="37"/>
  <c r="K6" i="37"/>
  <c r="K7" i="37"/>
  <c r="K8" i="37"/>
  <c r="K9" i="37"/>
  <c r="K10" i="37"/>
  <c r="K11" i="37"/>
  <c r="K18" i="37"/>
  <c r="K19" i="37"/>
  <c r="K20" i="37"/>
  <c r="K28" i="37"/>
  <c r="K29" i="37"/>
  <c r="T26" i="40"/>
  <c r="T28" i="40"/>
  <c r="S28" i="40"/>
  <c r="N5" i="45"/>
  <c r="M5" i="45"/>
  <c r="AB10" i="45"/>
  <c r="AA10" i="45"/>
  <c r="L10" i="40" l="1"/>
  <c r="L12" i="40"/>
  <c r="L11" i="40"/>
  <c r="L13" i="40"/>
  <c r="M323" i="45"/>
  <c r="Q323" i="45" s="1"/>
  <c r="M303" i="45"/>
  <c r="Q303" i="45" s="1"/>
  <c r="M179" i="45"/>
  <c r="Q179" i="45" s="1"/>
  <c r="M231" i="45"/>
  <c r="Q231" i="45" s="1"/>
  <c r="M279" i="45"/>
  <c r="Q279" i="45" s="1"/>
  <c r="M95" i="45"/>
  <c r="Q95" i="45" s="1"/>
  <c r="M51" i="45"/>
  <c r="Q51" i="45" s="1"/>
  <c r="M153" i="45"/>
  <c r="Q153" i="45" s="1"/>
  <c r="M321" i="45"/>
  <c r="Q321" i="45" s="1"/>
  <c r="M301" i="45"/>
  <c r="Q301" i="45" s="1"/>
  <c r="M177" i="45"/>
  <c r="Q177" i="45" s="1"/>
  <c r="M229" i="45"/>
  <c r="Q229" i="45" s="1"/>
  <c r="M277" i="45"/>
  <c r="Q277" i="45" s="1"/>
  <c r="M93" i="45"/>
  <c r="Q93" i="45" s="1"/>
  <c r="M49" i="45"/>
  <c r="Q49" i="45" s="1"/>
  <c r="M31" i="45"/>
  <c r="Q31" i="45" s="1"/>
  <c r="M289" i="45"/>
  <c r="Q289" i="45" s="1"/>
  <c r="M209" i="45"/>
  <c r="Q209" i="45" s="1"/>
  <c r="M265" i="45"/>
  <c r="Q265" i="45" s="1"/>
  <c r="M29" i="45"/>
  <c r="Q29" i="45" s="1"/>
  <c r="M291" i="45"/>
  <c r="Q291" i="45" s="1"/>
  <c r="M211" i="45"/>
  <c r="Q211" i="45" s="1"/>
  <c r="M247" i="45"/>
  <c r="Q247" i="45" s="1"/>
  <c r="M267" i="45"/>
  <c r="Q267" i="45" s="1"/>
  <c r="M155" i="45"/>
  <c r="Q155" i="45" s="1"/>
  <c r="M71" i="45"/>
  <c r="Q71" i="45" s="1"/>
  <c r="M245" i="45"/>
  <c r="Q245" i="45" s="1"/>
  <c r="M69" i="45"/>
  <c r="Q69" i="45" s="1"/>
  <c r="N323" i="45"/>
  <c r="R323" i="45" s="1"/>
  <c r="N303" i="45"/>
  <c r="R303" i="45" s="1"/>
  <c r="N179" i="45"/>
  <c r="R179" i="45" s="1"/>
  <c r="N231" i="45"/>
  <c r="R231" i="45" s="1"/>
  <c r="N279" i="45"/>
  <c r="R279" i="45" s="1"/>
  <c r="N95" i="45"/>
  <c r="R95" i="45" s="1"/>
  <c r="N51" i="45"/>
  <c r="R51" i="45" s="1"/>
  <c r="N321" i="45"/>
  <c r="R321" i="45" s="1"/>
  <c r="N301" i="45"/>
  <c r="R301" i="45" s="1"/>
  <c r="N177" i="45"/>
  <c r="R177" i="45" s="1"/>
  <c r="N229" i="45"/>
  <c r="R229" i="45" s="1"/>
  <c r="N277" i="45"/>
  <c r="R277" i="45" s="1"/>
  <c r="N93" i="45"/>
  <c r="R93" i="45" s="1"/>
  <c r="N49" i="45"/>
  <c r="R49" i="45" s="1"/>
  <c r="N291" i="45"/>
  <c r="R291" i="45" s="1"/>
  <c r="N211" i="45"/>
  <c r="R211" i="45" s="1"/>
  <c r="N247" i="45"/>
  <c r="R247" i="45" s="1"/>
  <c r="N267" i="45"/>
  <c r="R267" i="45" s="1"/>
  <c r="N155" i="45"/>
  <c r="R155" i="45" s="1"/>
  <c r="N71" i="45"/>
  <c r="R71" i="45" s="1"/>
  <c r="N31" i="45"/>
  <c r="R31" i="45" s="1"/>
  <c r="N245" i="45"/>
  <c r="R245" i="45" s="1"/>
  <c r="N153" i="45"/>
  <c r="R153" i="45" s="1"/>
  <c r="N29" i="45"/>
  <c r="R29" i="45" s="1"/>
  <c r="N289" i="45"/>
  <c r="R289" i="45" s="1"/>
  <c r="N209" i="45"/>
  <c r="R209" i="45" s="1"/>
  <c r="N265" i="45"/>
  <c r="R265" i="45" s="1"/>
  <c r="N69" i="45"/>
  <c r="R69" i="45" s="1"/>
  <c r="D28" i="40" l="1"/>
  <c r="D26" i="40"/>
  <c r="D24" i="40"/>
  <c r="F28" i="40"/>
  <c r="F26" i="40"/>
  <c r="F24" i="40"/>
  <c r="J26" i="40" l="1"/>
  <c r="J27" i="40"/>
  <c r="H26" i="40"/>
  <c r="N4" i="45"/>
  <c r="M4" i="45"/>
  <c r="R10" i="45"/>
  <c r="Q10" i="45"/>
  <c r="P10" i="45"/>
  <c r="K43" i="35"/>
  <c r="H28" i="40"/>
  <c r="H24" i="40"/>
  <c r="J28" i="40"/>
  <c r="J29" i="40"/>
  <c r="J24" i="40"/>
  <c r="J25" i="40"/>
  <c r="K38" i="35"/>
  <c r="K37" i="35"/>
  <c r="K36" i="35"/>
  <c r="AB9" i="45"/>
  <c r="K39" i="35"/>
  <c r="K41" i="35"/>
  <c r="K40" i="35"/>
  <c r="O10" i="39"/>
  <c r="Z9" i="45"/>
  <c r="O10" i="45"/>
  <c r="D7" i="38"/>
  <c r="C7" i="38"/>
  <c r="X20" i="40"/>
  <c r="K20" i="40"/>
  <c r="S16" i="40"/>
  <c r="S14" i="40"/>
  <c r="S12" i="40"/>
  <c r="J23" i="35"/>
  <c r="D6" i="38"/>
  <c r="N52" i="37" l="1"/>
  <c r="N39" i="37"/>
  <c r="O52" i="37"/>
  <c r="O39" i="37"/>
  <c r="L52" i="37"/>
  <c r="M52" i="37"/>
  <c r="L39" i="37"/>
  <c r="M39" i="37"/>
  <c r="Q52" i="37"/>
  <c r="P52" i="37"/>
  <c r="Q39" i="37"/>
  <c r="P39" i="37"/>
  <c r="N221" i="45"/>
  <c r="R221" i="45" s="1"/>
  <c r="N223" i="45"/>
  <c r="R223" i="45" s="1"/>
  <c r="L221" i="45"/>
  <c r="P221" i="45" s="1"/>
  <c r="K221" i="45"/>
  <c r="O221" i="45" s="1"/>
  <c r="K223" i="45"/>
  <c r="O223" i="45" s="1"/>
  <c r="L223" i="45"/>
  <c r="P223" i="45" s="1"/>
  <c r="M24" i="37"/>
  <c r="L24" i="37"/>
  <c r="L56" i="37"/>
  <c r="M56" i="37"/>
  <c r="O44" i="37"/>
  <c r="AC44" i="37" s="1"/>
  <c r="O56" i="37"/>
  <c r="AC56" i="37" s="1"/>
  <c r="O24" i="37"/>
  <c r="N44" i="37"/>
  <c r="AB44" i="37" s="1"/>
  <c r="N56" i="37"/>
  <c r="AB56" i="37" s="1"/>
  <c r="N24" i="37"/>
  <c r="P56" i="37"/>
  <c r="Q56" i="37"/>
  <c r="Q24" i="37"/>
  <c r="P24" i="37"/>
  <c r="K185" i="45"/>
  <c r="O185" i="45" s="1"/>
  <c r="L187" i="45"/>
  <c r="P187" i="45" s="1"/>
  <c r="K187" i="45"/>
  <c r="O187" i="45" s="1"/>
  <c r="L185" i="45"/>
  <c r="P185" i="45" s="1"/>
  <c r="N187" i="45"/>
  <c r="R187" i="45" s="1"/>
  <c r="N185" i="45"/>
  <c r="R185" i="45" s="1"/>
  <c r="L299" i="45"/>
  <c r="P299" i="45" s="1"/>
  <c r="K299" i="45"/>
  <c r="O299" i="45" s="1"/>
  <c r="L297" i="45"/>
  <c r="P297" i="45" s="1"/>
  <c r="K297" i="45"/>
  <c r="O297" i="45" s="1"/>
  <c r="L285" i="45"/>
  <c r="P285" i="45" s="1"/>
  <c r="K285" i="45"/>
  <c r="O285" i="45" s="1"/>
  <c r="L287" i="45"/>
  <c r="P287" i="45" s="1"/>
  <c r="K287" i="45"/>
  <c r="O287" i="45" s="1"/>
  <c r="K273" i="45"/>
  <c r="O273" i="45" s="1"/>
  <c r="L273" i="45"/>
  <c r="P273" i="45" s="1"/>
  <c r="L275" i="45"/>
  <c r="P275" i="45" s="1"/>
  <c r="K275" i="45"/>
  <c r="O275" i="45" s="1"/>
  <c r="K261" i="45"/>
  <c r="O261" i="45" s="1"/>
  <c r="L263" i="45"/>
  <c r="P263" i="45" s="1"/>
  <c r="L261" i="45"/>
  <c r="P261" i="45" s="1"/>
  <c r="K263" i="45"/>
  <c r="O263" i="45" s="1"/>
  <c r="K243" i="45"/>
  <c r="O243" i="45" s="1"/>
  <c r="L241" i="45"/>
  <c r="P241" i="45" s="1"/>
  <c r="L243" i="45"/>
  <c r="P243" i="45" s="1"/>
  <c r="K241" i="45"/>
  <c r="O241" i="45" s="1"/>
  <c r="L205" i="45"/>
  <c r="P205" i="45" s="1"/>
  <c r="L207" i="45"/>
  <c r="P207" i="45" s="1"/>
  <c r="K207" i="45"/>
  <c r="O207" i="45" s="1"/>
  <c r="K205" i="45"/>
  <c r="O205" i="45" s="1"/>
  <c r="K173" i="45"/>
  <c r="O173" i="45" s="1"/>
  <c r="L175" i="45"/>
  <c r="P175" i="45" s="1"/>
  <c r="L173" i="45"/>
  <c r="P173" i="45" s="1"/>
  <c r="K175" i="45"/>
  <c r="O175" i="45" s="1"/>
  <c r="N175" i="45"/>
  <c r="R175" i="45" s="1"/>
  <c r="N173" i="45"/>
  <c r="R173" i="45" s="1"/>
  <c r="L65" i="45"/>
  <c r="P65" i="45" s="1"/>
  <c r="L61" i="45"/>
  <c r="P61" i="45" s="1"/>
  <c r="K61" i="45"/>
  <c r="O61" i="45" s="1"/>
  <c r="L63" i="45"/>
  <c r="P63" i="45" s="1"/>
  <c r="K63" i="45"/>
  <c r="O63" i="45" s="1"/>
  <c r="L67" i="45"/>
  <c r="P67" i="45" s="1"/>
  <c r="K67" i="45"/>
  <c r="O67" i="45" s="1"/>
  <c r="K65" i="45"/>
  <c r="O65" i="45" s="1"/>
  <c r="N65" i="45"/>
  <c r="R65" i="45" s="1"/>
  <c r="N67" i="45"/>
  <c r="R67" i="45" s="1"/>
  <c r="L143" i="45"/>
  <c r="P143" i="45" s="1"/>
  <c r="K143" i="45"/>
  <c r="O143" i="45" s="1"/>
  <c r="L137" i="45"/>
  <c r="P137" i="45" s="1"/>
  <c r="L139" i="45"/>
  <c r="P139" i="45" s="1"/>
  <c r="K141" i="45"/>
  <c r="O141" i="45" s="1"/>
  <c r="L141" i="45"/>
  <c r="P141" i="45" s="1"/>
  <c r="K139" i="45"/>
  <c r="O139" i="45" s="1"/>
  <c r="K137" i="45"/>
  <c r="O137" i="45" s="1"/>
  <c r="K145" i="45"/>
  <c r="O145" i="45" s="1"/>
  <c r="K147" i="45"/>
  <c r="O147" i="45" s="1"/>
  <c r="K149" i="45"/>
  <c r="O149" i="45" s="1"/>
  <c r="K151" i="45"/>
  <c r="O151" i="45" s="1"/>
  <c r="L129" i="45"/>
  <c r="P129" i="45" s="1"/>
  <c r="K131" i="45"/>
  <c r="O131" i="45" s="1"/>
  <c r="L145" i="45"/>
  <c r="P145" i="45" s="1"/>
  <c r="L147" i="45"/>
  <c r="P147" i="45" s="1"/>
  <c r="L149" i="45"/>
  <c r="P149" i="45" s="1"/>
  <c r="L151" i="45"/>
  <c r="P151" i="45" s="1"/>
  <c r="L133" i="45"/>
  <c r="P133" i="45" s="1"/>
  <c r="K129" i="45"/>
  <c r="O129" i="45" s="1"/>
  <c r="L131" i="45"/>
  <c r="P131" i="45" s="1"/>
  <c r="K133" i="45"/>
  <c r="O133" i="45" s="1"/>
  <c r="L135" i="45"/>
  <c r="P135" i="45" s="1"/>
  <c r="K135" i="45"/>
  <c r="O135" i="45" s="1"/>
  <c r="L44" i="37"/>
  <c r="Z44" i="37" s="1"/>
  <c r="M44" i="37"/>
  <c r="AA44" i="37" s="1"/>
  <c r="P44" i="37"/>
  <c r="Q44" i="37"/>
  <c r="L163" i="45"/>
  <c r="P163" i="45" s="1"/>
  <c r="L161" i="45"/>
  <c r="P161" i="45" s="1"/>
  <c r="K161" i="45"/>
  <c r="O161" i="45" s="1"/>
  <c r="K163" i="45"/>
  <c r="O163" i="45" s="1"/>
  <c r="N43" i="37"/>
  <c r="O43" i="37"/>
  <c r="P43" i="37"/>
  <c r="Q43" i="37"/>
  <c r="L43" i="37"/>
  <c r="M43" i="37"/>
  <c r="L167" i="45"/>
  <c r="P167" i="45" s="1"/>
  <c r="L165" i="45"/>
  <c r="P165" i="45" s="1"/>
  <c r="K167" i="45"/>
  <c r="O167" i="45" s="1"/>
  <c r="K165" i="45"/>
  <c r="O165" i="45" s="1"/>
  <c r="N42" i="37"/>
  <c r="AB42" i="37" s="1"/>
  <c r="N47" i="37"/>
  <c r="AB47" i="37" s="1"/>
  <c r="N41" i="37"/>
  <c r="AB41" i="37" s="1"/>
  <c r="N35" i="37"/>
  <c r="N137" i="45" s="1"/>
  <c r="R137" i="45" s="1"/>
  <c r="O35" i="37"/>
  <c r="N139" i="45" s="1"/>
  <c r="R139" i="45" s="1"/>
  <c r="O41" i="37"/>
  <c r="AC41" i="37" s="1"/>
  <c r="O42" i="37"/>
  <c r="AC42" i="37" s="1"/>
  <c r="O47" i="37"/>
  <c r="L35" i="37"/>
  <c r="L47" i="37"/>
  <c r="L41" i="37"/>
  <c r="Z41" i="37" s="1"/>
  <c r="M47" i="37"/>
  <c r="M41" i="37"/>
  <c r="AA41" i="37" s="1"/>
  <c r="M35" i="37"/>
  <c r="L42" i="37"/>
  <c r="Z42" i="37" s="1"/>
  <c r="M42" i="37"/>
  <c r="AA42" i="37" s="1"/>
  <c r="L70" i="37"/>
  <c r="L64" i="37"/>
  <c r="L45" i="37"/>
  <c r="Z45" i="37" s="1"/>
  <c r="L55" i="37"/>
  <c r="Z55" i="37" s="1"/>
  <c r="L57" i="37"/>
  <c r="Z57" i="37" s="1"/>
  <c r="L25" i="37"/>
  <c r="Z25" i="37" s="1"/>
  <c r="L23" i="37"/>
  <c r="Z23" i="37" s="1"/>
  <c r="L33" i="37"/>
  <c r="L15" i="37"/>
  <c r="Z15" i="37" s="1"/>
  <c r="L12" i="37"/>
  <c r="Z12" i="37" s="1"/>
  <c r="L8" i="37"/>
  <c r="Z8" i="37" s="1"/>
  <c r="L63" i="37"/>
  <c r="Z63" i="37" s="1"/>
  <c r="L53" i="37"/>
  <c r="Z53" i="37" s="1"/>
  <c r="L62" i="37"/>
  <c r="L38" i="37"/>
  <c r="L32" i="37"/>
  <c r="Z32" i="37" s="1"/>
  <c r="L14" i="37"/>
  <c r="Z14" i="37" s="1"/>
  <c r="L6" i="37"/>
  <c r="Z6" i="37" s="1"/>
  <c r="L66" i="37"/>
  <c r="L54" i="37"/>
  <c r="Z54" i="37" s="1"/>
  <c r="L61" i="37"/>
  <c r="Z61" i="37" s="1"/>
  <c r="L37" i="37"/>
  <c r="L22" i="37"/>
  <c r="Z22" i="37" s="1"/>
  <c r="L30" i="37"/>
  <c r="Z30" i="37" s="1"/>
  <c r="L19" i="37"/>
  <c r="Z19" i="37" s="1"/>
  <c r="L11" i="37"/>
  <c r="Z11" i="37" s="1"/>
  <c r="L7" i="37"/>
  <c r="Z7" i="37" s="1"/>
  <c r="L17" i="37"/>
  <c r="L9" i="37"/>
  <c r="Z9" i="37" s="1"/>
  <c r="L69" i="37"/>
  <c r="Z69" i="37" s="1"/>
  <c r="L65" i="37"/>
  <c r="Z65" i="37" s="1"/>
  <c r="L60" i="37"/>
  <c r="M261" i="45" s="1"/>
  <c r="Q261" i="45" s="1"/>
  <c r="L27" i="37"/>
  <c r="Z27" i="37" s="1"/>
  <c r="L21" i="37"/>
  <c r="Z21" i="37" s="1"/>
  <c r="L10" i="37"/>
  <c r="Z10" i="37" s="1"/>
  <c r="L46" i="37"/>
  <c r="Z46" i="37" s="1"/>
  <c r="L51" i="37"/>
  <c r="Z51" i="37" s="1"/>
  <c r="L59" i="37"/>
  <c r="Z59" i="37" s="1"/>
  <c r="L36" i="37"/>
  <c r="L31" i="37"/>
  <c r="Z31" i="37" s="1"/>
  <c r="L18" i="37"/>
  <c r="Z18" i="37" s="1"/>
  <c r="L13" i="37"/>
  <c r="Z13" i="37" s="1"/>
  <c r="L16" i="37"/>
  <c r="Z16" i="37" s="1"/>
  <c r="L68" i="37"/>
  <c r="Z68" i="37" s="1"/>
  <c r="L48" i="37"/>
  <c r="Z48" i="37" s="1"/>
  <c r="L29" i="37"/>
  <c r="Z29" i="37" s="1"/>
  <c r="L40" i="37"/>
  <c r="Z40" i="37" s="1"/>
  <c r="L50" i="37"/>
  <c r="Z50" i="37" s="1"/>
  <c r="L58" i="37"/>
  <c r="Z58" i="37" s="1"/>
  <c r="L26" i="37"/>
  <c r="Z26" i="37" s="1"/>
  <c r="L28" i="37"/>
  <c r="Z28" i="37" s="1"/>
  <c r="L34" i="37"/>
  <c r="L20" i="37"/>
  <c r="Z20" i="37" s="1"/>
  <c r="L67" i="37"/>
  <c r="Z67" i="37" s="1"/>
  <c r="L49" i="37"/>
  <c r="P35" i="37"/>
  <c r="P47" i="37"/>
  <c r="P41" i="37"/>
  <c r="Q42" i="37"/>
  <c r="Q35" i="37"/>
  <c r="Q47" i="37"/>
  <c r="Q41" i="37"/>
  <c r="P42" i="37"/>
  <c r="K199" i="45"/>
  <c r="O199" i="45" s="1"/>
  <c r="L199" i="45"/>
  <c r="P199" i="45" s="1"/>
  <c r="L197" i="45"/>
  <c r="P197" i="45" s="1"/>
  <c r="K197" i="45"/>
  <c r="O197" i="45" s="1"/>
  <c r="L171" i="45"/>
  <c r="P171" i="45" s="1"/>
  <c r="L169" i="45"/>
  <c r="P169" i="45" s="1"/>
  <c r="K171" i="45"/>
  <c r="O171" i="45" s="1"/>
  <c r="K169" i="45"/>
  <c r="O169" i="45" s="1"/>
  <c r="K319" i="45"/>
  <c r="O319" i="45" s="1"/>
  <c r="L317" i="45"/>
  <c r="P317" i="45" s="1"/>
  <c r="L319" i="45"/>
  <c r="P319" i="45" s="1"/>
  <c r="K317" i="45"/>
  <c r="O317" i="45" s="1"/>
  <c r="K311" i="45"/>
  <c r="O311" i="45" s="1"/>
  <c r="L309" i="45"/>
  <c r="P309" i="45" s="1"/>
  <c r="K309" i="45"/>
  <c r="O309" i="45" s="1"/>
  <c r="L311" i="45"/>
  <c r="P311" i="45" s="1"/>
  <c r="K283" i="45"/>
  <c r="O283" i="45" s="1"/>
  <c r="K159" i="45"/>
  <c r="O159" i="45" s="1"/>
  <c r="K251" i="45"/>
  <c r="O251" i="45" s="1"/>
  <c r="K127" i="45"/>
  <c r="O127" i="45" s="1"/>
  <c r="K107" i="45"/>
  <c r="O107" i="45" s="1"/>
  <c r="K87" i="45"/>
  <c r="O87" i="45" s="1"/>
  <c r="K55" i="45"/>
  <c r="O55" i="45" s="1"/>
  <c r="K35" i="45"/>
  <c r="O35" i="45" s="1"/>
  <c r="K11" i="45"/>
  <c r="O11" i="45" s="1"/>
  <c r="K233" i="45"/>
  <c r="O233" i="45" s="1"/>
  <c r="K25" i="45"/>
  <c r="O25" i="45" s="1"/>
  <c r="K111" i="45"/>
  <c r="O111" i="45" s="1"/>
  <c r="K213" i="45"/>
  <c r="O213" i="45" s="1"/>
  <c r="K13" i="45"/>
  <c r="O13" i="45" s="1"/>
  <c r="K281" i="45"/>
  <c r="O281" i="45" s="1"/>
  <c r="K157" i="45"/>
  <c r="O157" i="45" s="1"/>
  <c r="K249" i="45"/>
  <c r="O249" i="45" s="1"/>
  <c r="K125" i="45"/>
  <c r="O125" i="45" s="1"/>
  <c r="K105" i="45"/>
  <c r="O105" i="45" s="1"/>
  <c r="K85" i="45"/>
  <c r="O85" i="45" s="1"/>
  <c r="K53" i="45"/>
  <c r="O53" i="45" s="1"/>
  <c r="K33" i="45"/>
  <c r="O33" i="45" s="1"/>
  <c r="K9" i="45"/>
  <c r="O9" i="45" s="1"/>
  <c r="K83" i="45"/>
  <c r="O83" i="45" s="1"/>
  <c r="K201" i="45"/>
  <c r="O201" i="45" s="1"/>
  <c r="K101" i="45"/>
  <c r="O101" i="45" s="1"/>
  <c r="K191" i="45"/>
  <c r="O191" i="45" s="1"/>
  <c r="K59" i="45"/>
  <c r="O59" i="45" s="1"/>
  <c r="K189" i="45"/>
  <c r="O189" i="45" s="1"/>
  <c r="K57" i="45"/>
  <c r="O57" i="45" s="1"/>
  <c r="K183" i="45"/>
  <c r="O183" i="45" s="1"/>
  <c r="K239" i="45"/>
  <c r="O239" i="45" s="1"/>
  <c r="K123" i="45"/>
  <c r="O123" i="45" s="1"/>
  <c r="K295" i="45"/>
  <c r="O295" i="45" s="1"/>
  <c r="K271" i="45"/>
  <c r="O271" i="45" s="1"/>
  <c r="K79" i="45"/>
  <c r="O79" i="45" s="1"/>
  <c r="K27" i="45"/>
  <c r="O27" i="45" s="1"/>
  <c r="K117" i="45"/>
  <c r="O117" i="45" s="1"/>
  <c r="K17" i="45"/>
  <c r="O17" i="45" s="1"/>
  <c r="K37" i="45"/>
  <c r="O37" i="45" s="1"/>
  <c r="K181" i="45"/>
  <c r="O181" i="45" s="1"/>
  <c r="K237" i="45"/>
  <c r="O237" i="45" s="1"/>
  <c r="K121" i="45"/>
  <c r="O121" i="45" s="1"/>
  <c r="K81" i="45"/>
  <c r="O81" i="45" s="1"/>
  <c r="K203" i="45"/>
  <c r="O203" i="45" s="1"/>
  <c r="K235" i="45"/>
  <c r="O235" i="45" s="1"/>
  <c r="K119" i="45"/>
  <c r="O119" i="45" s="1"/>
  <c r="K103" i="45"/>
  <c r="O103" i="45" s="1"/>
  <c r="K293" i="45"/>
  <c r="O293" i="45" s="1"/>
  <c r="K269" i="45"/>
  <c r="O269" i="45" s="1"/>
  <c r="K77" i="45"/>
  <c r="O77" i="45" s="1"/>
  <c r="K315" i="45"/>
  <c r="O315" i="45" s="1"/>
  <c r="K227" i="45"/>
  <c r="O227" i="45" s="1"/>
  <c r="K99" i="45"/>
  <c r="O99" i="45" s="1"/>
  <c r="K75" i="45"/>
  <c r="O75" i="45" s="1"/>
  <c r="K47" i="45"/>
  <c r="O47" i="45" s="1"/>
  <c r="K23" i="45"/>
  <c r="O23" i="45" s="1"/>
  <c r="K91" i="45"/>
  <c r="O91" i="45" s="1"/>
  <c r="K89" i="45"/>
  <c r="O89" i="45" s="1"/>
  <c r="K313" i="45"/>
  <c r="O313" i="45" s="1"/>
  <c r="K225" i="45"/>
  <c r="O225" i="45" s="1"/>
  <c r="K97" i="45"/>
  <c r="O97" i="45" s="1"/>
  <c r="K73" i="45"/>
  <c r="O73" i="45" s="1"/>
  <c r="K45" i="45"/>
  <c r="O45" i="45" s="1"/>
  <c r="K21" i="45"/>
  <c r="O21" i="45" s="1"/>
  <c r="K257" i="45"/>
  <c r="O257" i="45" s="1"/>
  <c r="K255" i="45"/>
  <c r="O255" i="45" s="1"/>
  <c r="K15" i="45"/>
  <c r="O15" i="45" s="1"/>
  <c r="K109" i="45"/>
  <c r="O109" i="45" s="1"/>
  <c r="K307" i="45"/>
  <c r="O307" i="45" s="1"/>
  <c r="K195" i="45"/>
  <c r="O195" i="45" s="1"/>
  <c r="K219" i="45"/>
  <c r="O219" i="45" s="1"/>
  <c r="K259" i="45"/>
  <c r="O259" i="45" s="1"/>
  <c r="K115" i="45"/>
  <c r="O115" i="45" s="1"/>
  <c r="K43" i="45"/>
  <c r="O43" i="45" s="1"/>
  <c r="K19" i="45"/>
  <c r="O19" i="45" s="1"/>
  <c r="K305" i="45"/>
  <c r="O305" i="45" s="1"/>
  <c r="K193" i="45"/>
  <c r="O193" i="45" s="1"/>
  <c r="K217" i="45"/>
  <c r="O217" i="45" s="1"/>
  <c r="K113" i="45"/>
  <c r="O113" i="45" s="1"/>
  <c r="K41" i="45"/>
  <c r="O41" i="45" s="1"/>
  <c r="K215" i="45"/>
  <c r="O215" i="45" s="1"/>
  <c r="K39" i="45"/>
  <c r="O39" i="45" s="1"/>
  <c r="K253" i="45"/>
  <c r="O253" i="45" s="1"/>
  <c r="L307" i="45"/>
  <c r="P307" i="45" s="1"/>
  <c r="L295" i="45"/>
  <c r="P295" i="45" s="1"/>
  <c r="L159" i="45"/>
  <c r="P159" i="45" s="1"/>
  <c r="L195" i="45"/>
  <c r="P195" i="45" s="1"/>
  <c r="L259" i="45"/>
  <c r="P259" i="45" s="1"/>
  <c r="L271" i="45"/>
  <c r="P271" i="45" s="1"/>
  <c r="L127" i="45"/>
  <c r="P127" i="45" s="1"/>
  <c r="L115" i="45"/>
  <c r="P115" i="45" s="1"/>
  <c r="L103" i="45"/>
  <c r="P103" i="45" s="1"/>
  <c r="L87" i="45"/>
  <c r="P87" i="45" s="1"/>
  <c r="L35" i="45"/>
  <c r="P35" i="45" s="1"/>
  <c r="L19" i="45"/>
  <c r="P19" i="45" s="1"/>
  <c r="L41" i="45"/>
  <c r="P41" i="45" s="1"/>
  <c r="L305" i="45"/>
  <c r="P305" i="45" s="1"/>
  <c r="L293" i="45"/>
  <c r="P293" i="45" s="1"/>
  <c r="L157" i="45"/>
  <c r="P157" i="45" s="1"/>
  <c r="L193" i="45"/>
  <c r="P193" i="45" s="1"/>
  <c r="L257" i="45"/>
  <c r="P257" i="45" s="1"/>
  <c r="L269" i="45"/>
  <c r="P269" i="45" s="1"/>
  <c r="L125" i="45"/>
  <c r="P125" i="45" s="1"/>
  <c r="L113" i="45"/>
  <c r="P113" i="45" s="1"/>
  <c r="L101" i="45"/>
  <c r="P101" i="45" s="1"/>
  <c r="L85" i="45"/>
  <c r="P85" i="45" s="1"/>
  <c r="L33" i="45"/>
  <c r="P33" i="45" s="1"/>
  <c r="L17" i="45"/>
  <c r="P17" i="45" s="1"/>
  <c r="L25" i="45"/>
  <c r="P25" i="45" s="1"/>
  <c r="L191" i="45"/>
  <c r="P191" i="45" s="1"/>
  <c r="L227" i="45"/>
  <c r="P227" i="45" s="1"/>
  <c r="L239" i="45"/>
  <c r="P239" i="45" s="1"/>
  <c r="L255" i="45"/>
  <c r="P255" i="45" s="1"/>
  <c r="L123" i="45"/>
  <c r="P123" i="45" s="1"/>
  <c r="L111" i="45"/>
  <c r="P111" i="45" s="1"/>
  <c r="L99" i="45"/>
  <c r="P99" i="45" s="1"/>
  <c r="L83" i="45"/>
  <c r="P83" i="45" s="1"/>
  <c r="L59" i="45"/>
  <c r="P59" i="45" s="1"/>
  <c r="L47" i="45"/>
  <c r="P47" i="45" s="1"/>
  <c r="L15" i="45"/>
  <c r="P15" i="45" s="1"/>
  <c r="L201" i="45"/>
  <c r="P201" i="45" s="1"/>
  <c r="L189" i="45"/>
  <c r="P189" i="45" s="1"/>
  <c r="L225" i="45"/>
  <c r="P225" i="45" s="1"/>
  <c r="L237" i="45"/>
  <c r="P237" i="45" s="1"/>
  <c r="L253" i="45"/>
  <c r="P253" i="45" s="1"/>
  <c r="L121" i="45"/>
  <c r="P121" i="45" s="1"/>
  <c r="L109" i="45"/>
  <c r="P109" i="45" s="1"/>
  <c r="L97" i="45"/>
  <c r="P97" i="45" s="1"/>
  <c r="L81" i="45"/>
  <c r="P81" i="45" s="1"/>
  <c r="L57" i="45"/>
  <c r="P57" i="45" s="1"/>
  <c r="L45" i="45"/>
  <c r="P45" i="45" s="1"/>
  <c r="L13" i="45"/>
  <c r="P13" i="45" s="1"/>
  <c r="L281" i="45"/>
  <c r="P281" i="45" s="1"/>
  <c r="L53" i="45"/>
  <c r="P53" i="45" s="1"/>
  <c r="L283" i="45"/>
  <c r="P283" i="45" s="1"/>
  <c r="L203" i="45"/>
  <c r="P203" i="45" s="1"/>
  <c r="L219" i="45"/>
  <c r="P219" i="45" s="1"/>
  <c r="L235" i="45"/>
  <c r="P235" i="45" s="1"/>
  <c r="L251" i="45"/>
  <c r="P251" i="45" s="1"/>
  <c r="L119" i="45"/>
  <c r="P119" i="45" s="1"/>
  <c r="L107" i="45"/>
  <c r="P107" i="45" s="1"/>
  <c r="L79" i="45"/>
  <c r="P79" i="45" s="1"/>
  <c r="L55" i="45"/>
  <c r="P55" i="45" s="1"/>
  <c r="L43" i="45"/>
  <c r="P43" i="45" s="1"/>
  <c r="L27" i="45"/>
  <c r="P27" i="45" s="1"/>
  <c r="L11" i="45"/>
  <c r="P11" i="45" s="1"/>
  <c r="L217" i="45"/>
  <c r="P217" i="45" s="1"/>
  <c r="L105" i="45"/>
  <c r="P105" i="45" s="1"/>
  <c r="L9" i="45"/>
  <c r="P9" i="45" s="1"/>
  <c r="L315" i="45"/>
  <c r="P315" i="45" s="1"/>
  <c r="L183" i="45"/>
  <c r="P183" i="45" s="1"/>
  <c r="L215" i="45"/>
  <c r="P215" i="45" s="1"/>
  <c r="L91" i="45"/>
  <c r="P91" i="45" s="1"/>
  <c r="L75" i="45"/>
  <c r="P75" i="45" s="1"/>
  <c r="L39" i="45"/>
  <c r="P39" i="45" s="1"/>
  <c r="L23" i="45"/>
  <c r="P23" i="45" s="1"/>
  <c r="L233" i="45"/>
  <c r="P233" i="45" s="1"/>
  <c r="L77" i="45"/>
  <c r="P77" i="45" s="1"/>
  <c r="L313" i="45"/>
  <c r="P313" i="45" s="1"/>
  <c r="L181" i="45"/>
  <c r="P181" i="45" s="1"/>
  <c r="L213" i="45"/>
  <c r="P213" i="45" s="1"/>
  <c r="L89" i="45"/>
  <c r="P89" i="45" s="1"/>
  <c r="L73" i="45"/>
  <c r="P73" i="45" s="1"/>
  <c r="L37" i="45"/>
  <c r="P37" i="45" s="1"/>
  <c r="L21" i="45"/>
  <c r="P21" i="45" s="1"/>
  <c r="L249" i="45"/>
  <c r="P249" i="45" s="1"/>
  <c r="L117" i="45"/>
  <c r="P117" i="45" s="1"/>
  <c r="N67" i="37"/>
  <c r="N17" i="37"/>
  <c r="AB17" i="37" s="1"/>
  <c r="N16" i="37"/>
  <c r="N15" i="37"/>
  <c r="N14" i="37"/>
  <c r="AB14" i="37" s="1"/>
  <c r="N13" i="37"/>
  <c r="N12" i="37"/>
  <c r="N63" i="37"/>
  <c r="N40" i="37"/>
  <c r="AB40" i="37" s="1"/>
  <c r="N46" i="37"/>
  <c r="N45" i="37"/>
  <c r="N50" i="37"/>
  <c r="N68" i="37"/>
  <c r="N66" i="37"/>
  <c r="N297" i="45" s="1"/>
  <c r="R297" i="45" s="1"/>
  <c r="N48" i="37"/>
  <c r="AB48" i="37" s="1"/>
  <c r="N49" i="37"/>
  <c r="AB49" i="37" s="1"/>
  <c r="N53" i="37"/>
  <c r="AB53" i="37" s="1"/>
  <c r="N51" i="37"/>
  <c r="N55" i="37"/>
  <c r="N70" i="37"/>
  <c r="AB70" i="37" s="1"/>
  <c r="N69" i="37"/>
  <c r="N64" i="37"/>
  <c r="N285" i="45" s="1"/>
  <c r="R285" i="45" s="1"/>
  <c r="N65" i="37"/>
  <c r="AB65" i="37" s="1"/>
  <c r="N54" i="37"/>
  <c r="Q16" i="37"/>
  <c r="Q15" i="37"/>
  <c r="Q13" i="37"/>
  <c r="P17" i="37"/>
  <c r="P13" i="37"/>
  <c r="Q17" i="37"/>
  <c r="Q14" i="37"/>
  <c r="Q12" i="37"/>
  <c r="P67" i="37"/>
  <c r="Q67" i="37"/>
  <c r="P16" i="37"/>
  <c r="P15" i="37"/>
  <c r="P14" i="37"/>
  <c r="P12" i="37"/>
  <c r="Q70" i="37"/>
  <c r="Q69" i="37"/>
  <c r="Q68" i="37"/>
  <c r="Q64" i="37"/>
  <c r="Q63" i="37"/>
  <c r="Q66" i="37"/>
  <c r="Q65" i="37"/>
  <c r="Q48" i="37"/>
  <c r="Q40" i="37"/>
  <c r="Q49" i="37"/>
  <c r="Q46" i="37"/>
  <c r="Q45" i="37"/>
  <c r="Q53" i="37"/>
  <c r="Q51" i="37"/>
  <c r="P70" i="37"/>
  <c r="P69" i="37"/>
  <c r="P68" i="37"/>
  <c r="P64" i="37"/>
  <c r="P63" i="37"/>
  <c r="P66" i="37"/>
  <c r="P65" i="37"/>
  <c r="P48" i="37"/>
  <c r="P40" i="37"/>
  <c r="P49" i="37"/>
  <c r="P46" i="37"/>
  <c r="P45" i="37"/>
  <c r="P53" i="37"/>
  <c r="P51" i="37"/>
  <c r="P54" i="37"/>
  <c r="P50" i="37"/>
  <c r="Q54" i="37"/>
  <c r="Q50" i="37"/>
  <c r="P55" i="37"/>
  <c r="Q55" i="37"/>
  <c r="O67" i="37"/>
  <c r="O17" i="37"/>
  <c r="AC17" i="37" s="1"/>
  <c r="O16" i="37"/>
  <c r="O15" i="37"/>
  <c r="O14" i="37"/>
  <c r="AC14" i="37" s="1"/>
  <c r="O13" i="37"/>
  <c r="O12" i="37"/>
  <c r="O55" i="37"/>
  <c r="O50" i="37"/>
  <c r="O70" i="37"/>
  <c r="AC70" i="37" s="1"/>
  <c r="O69" i="37"/>
  <c r="O68" i="37"/>
  <c r="O64" i="37"/>
  <c r="N287" i="45" s="1"/>
  <c r="R287" i="45" s="1"/>
  <c r="O63" i="37"/>
  <c r="O66" i="37"/>
  <c r="N299" i="45" s="1"/>
  <c r="R299" i="45" s="1"/>
  <c r="O65" i="37"/>
  <c r="AC65" i="37" s="1"/>
  <c r="O48" i="37"/>
  <c r="AC48" i="37" s="1"/>
  <c r="O40" i="37"/>
  <c r="AC40" i="37" s="1"/>
  <c r="O49" i="37"/>
  <c r="AC49" i="37" s="1"/>
  <c r="O46" i="37"/>
  <c r="O45" i="37"/>
  <c r="O53" i="37"/>
  <c r="AC53" i="37" s="1"/>
  <c r="O51" i="37"/>
  <c r="O54" i="37"/>
  <c r="M67" i="37"/>
  <c r="M17" i="37"/>
  <c r="M16" i="37"/>
  <c r="M15" i="37"/>
  <c r="M14" i="37"/>
  <c r="AA14" i="37" s="1"/>
  <c r="M13" i="37"/>
  <c r="M12" i="37"/>
  <c r="M50" i="37"/>
  <c r="M63" i="37"/>
  <c r="M48" i="37"/>
  <c r="AA48" i="37" s="1"/>
  <c r="M49" i="37"/>
  <c r="M53" i="37"/>
  <c r="AA53" i="37" s="1"/>
  <c r="M55" i="37"/>
  <c r="M68" i="37"/>
  <c r="M66" i="37"/>
  <c r="M299" i="45" s="1"/>
  <c r="Q299" i="45" s="1"/>
  <c r="M45" i="37"/>
  <c r="M51" i="37"/>
  <c r="M219" i="45" s="1"/>
  <c r="Q219" i="45" s="1"/>
  <c r="M54" i="37"/>
  <c r="M70" i="37"/>
  <c r="M69" i="37"/>
  <c r="M64" i="37"/>
  <c r="M287" i="45" s="1"/>
  <c r="Q287" i="45" s="1"/>
  <c r="M65" i="37"/>
  <c r="AA65" i="37" s="1"/>
  <c r="M40" i="37"/>
  <c r="AA40" i="37" s="1"/>
  <c r="M46" i="37"/>
  <c r="N25" i="37"/>
  <c r="M25" i="37"/>
  <c r="O25" i="37"/>
  <c r="P25" i="37"/>
  <c r="Q25" i="37"/>
  <c r="N26" i="37"/>
  <c r="N37" i="37"/>
  <c r="N145" i="45" s="1"/>
  <c r="R145" i="45" s="1"/>
  <c r="N38" i="37"/>
  <c r="AB38" i="37" s="1"/>
  <c r="N36" i="37"/>
  <c r="N141" i="45" s="1"/>
  <c r="R141" i="45" s="1"/>
  <c r="P26" i="37"/>
  <c r="P37" i="37"/>
  <c r="P38" i="37"/>
  <c r="P36" i="37"/>
  <c r="Q26" i="37"/>
  <c r="Q37" i="37"/>
  <c r="Q38" i="37"/>
  <c r="Q36" i="37"/>
  <c r="O26" i="37"/>
  <c r="O37" i="37"/>
  <c r="N147" i="45" s="1"/>
  <c r="R147" i="45" s="1"/>
  <c r="O38" i="37"/>
  <c r="AC38" i="37" s="1"/>
  <c r="O36" i="37"/>
  <c r="N143" i="45" s="1"/>
  <c r="R143" i="45" s="1"/>
  <c r="M26" i="37"/>
  <c r="M37" i="37"/>
  <c r="M147" i="45" s="1"/>
  <c r="Q147" i="45" s="1"/>
  <c r="M38" i="37"/>
  <c r="M36" i="37"/>
  <c r="M143" i="45" s="1"/>
  <c r="Q143" i="45" s="1"/>
  <c r="O59" i="37"/>
  <c r="O60" i="37"/>
  <c r="AC60" i="37" s="1"/>
  <c r="O57" i="37"/>
  <c r="O58" i="37"/>
  <c r="O61" i="37"/>
  <c r="O62" i="37"/>
  <c r="N275" i="45" s="1"/>
  <c r="R275" i="45" s="1"/>
  <c r="Q57" i="37"/>
  <c r="Q61" i="37"/>
  <c r="P60" i="37"/>
  <c r="P57" i="37"/>
  <c r="P58" i="37"/>
  <c r="P61" i="37"/>
  <c r="P62" i="37"/>
  <c r="Q60" i="37"/>
  <c r="Q58" i="37"/>
  <c r="Q62" i="37"/>
  <c r="P59" i="37"/>
  <c r="Q59" i="37"/>
  <c r="M60" i="37"/>
  <c r="M263" i="45" s="1"/>
  <c r="Q263" i="45" s="1"/>
  <c r="M57" i="37"/>
  <c r="M58" i="37"/>
  <c r="M61" i="37"/>
  <c r="M62" i="37"/>
  <c r="M275" i="45" s="1"/>
  <c r="Q275" i="45" s="1"/>
  <c r="M59" i="37"/>
  <c r="N58" i="37"/>
  <c r="N62" i="37"/>
  <c r="N273" i="45" s="1"/>
  <c r="R273" i="45" s="1"/>
  <c r="N59" i="37"/>
  <c r="N60" i="37"/>
  <c r="AB60" i="37" s="1"/>
  <c r="N57" i="37"/>
  <c r="N61" i="37"/>
  <c r="M21" i="37"/>
  <c r="AA21" i="37" s="1"/>
  <c r="M30" i="37"/>
  <c r="M32" i="37"/>
  <c r="AA32" i="37" s="1"/>
  <c r="M33" i="37"/>
  <c r="M131" i="45" s="1"/>
  <c r="Q131" i="45" s="1"/>
  <c r="M34" i="37"/>
  <c r="M135" i="45" s="1"/>
  <c r="Q135" i="45" s="1"/>
  <c r="M31" i="37"/>
  <c r="M27" i="37"/>
  <c r="AA27" i="37" s="1"/>
  <c r="M22" i="37"/>
  <c r="M23" i="37"/>
  <c r="N21" i="37"/>
  <c r="AB21" i="37" s="1"/>
  <c r="N30" i="37"/>
  <c r="N32" i="37"/>
  <c r="AB32" i="37" s="1"/>
  <c r="N33" i="37"/>
  <c r="N129" i="45" s="1"/>
  <c r="R129" i="45" s="1"/>
  <c r="N34" i="37"/>
  <c r="N133" i="45" s="1"/>
  <c r="R133" i="45" s="1"/>
  <c r="N31" i="37"/>
  <c r="N27" i="37"/>
  <c r="AB27" i="37" s="1"/>
  <c r="N22" i="37"/>
  <c r="N23" i="37"/>
  <c r="O21" i="37"/>
  <c r="AC21" i="37" s="1"/>
  <c r="O30" i="37"/>
  <c r="O32" i="37"/>
  <c r="AC32" i="37" s="1"/>
  <c r="O33" i="37"/>
  <c r="N131" i="45" s="1"/>
  <c r="R131" i="45" s="1"/>
  <c r="O34" i="37"/>
  <c r="N135" i="45" s="1"/>
  <c r="R135" i="45" s="1"/>
  <c r="O31" i="37"/>
  <c r="O27" i="37"/>
  <c r="AC27" i="37" s="1"/>
  <c r="O22" i="37"/>
  <c r="O23" i="37"/>
  <c r="P21" i="37"/>
  <c r="P30" i="37"/>
  <c r="P32" i="37"/>
  <c r="P33" i="37"/>
  <c r="P34" i="37"/>
  <c r="P31" i="37"/>
  <c r="P27" i="37"/>
  <c r="P22" i="37"/>
  <c r="P23" i="37"/>
  <c r="Q21" i="37"/>
  <c r="Q30" i="37"/>
  <c r="Q32" i="37"/>
  <c r="Q33" i="37"/>
  <c r="Q34" i="37"/>
  <c r="Q31" i="37"/>
  <c r="Q27" i="37"/>
  <c r="Q22" i="37"/>
  <c r="Q23" i="37"/>
  <c r="O10" i="37"/>
  <c r="AC10" i="37" s="1"/>
  <c r="O18" i="37"/>
  <c r="O19" i="37"/>
  <c r="O9" i="37"/>
  <c r="O28" i="37"/>
  <c r="O6" i="37"/>
  <c r="AC6" i="37" s="1"/>
  <c r="O7" i="37"/>
  <c r="O8" i="37"/>
  <c r="O11" i="37"/>
  <c r="O20" i="37"/>
  <c r="O29" i="37"/>
  <c r="AC29" i="37" s="1"/>
  <c r="Q19" i="37"/>
  <c r="Q28" i="37"/>
  <c r="Q18" i="37"/>
  <c r="Q20" i="37"/>
  <c r="Q29" i="37"/>
  <c r="P6" i="37"/>
  <c r="P7" i="37"/>
  <c r="P8" i="37"/>
  <c r="P9" i="37"/>
  <c r="P10" i="37"/>
  <c r="P11" i="37"/>
  <c r="P18" i="37"/>
  <c r="P19" i="37"/>
  <c r="P20" i="37"/>
  <c r="P28" i="37"/>
  <c r="P29" i="37"/>
  <c r="Q6" i="37"/>
  <c r="Q7" i="37"/>
  <c r="Q8" i="37"/>
  <c r="Q9" i="37"/>
  <c r="Q10" i="37"/>
  <c r="Q11" i="37"/>
  <c r="N6" i="37"/>
  <c r="AB6" i="37" s="1"/>
  <c r="N7" i="37"/>
  <c r="N8" i="37"/>
  <c r="N9" i="37"/>
  <c r="N10" i="37"/>
  <c r="AB10" i="37" s="1"/>
  <c r="N11" i="37"/>
  <c r="N18" i="37"/>
  <c r="N19" i="37"/>
  <c r="N20" i="37"/>
  <c r="N28" i="37"/>
  <c r="N29" i="37"/>
  <c r="AB29" i="37" s="1"/>
  <c r="M6" i="37"/>
  <c r="AA6" i="37" s="1"/>
  <c r="M7" i="37"/>
  <c r="M8" i="37"/>
  <c r="M9" i="37"/>
  <c r="M10" i="37"/>
  <c r="AA10" i="37" s="1"/>
  <c r="M11" i="37"/>
  <c r="M18" i="37"/>
  <c r="M19" i="37"/>
  <c r="M20" i="37"/>
  <c r="M28" i="37"/>
  <c r="M29" i="37"/>
  <c r="AA29" i="37" s="1"/>
  <c r="M8" i="45"/>
  <c r="N8" i="45"/>
  <c r="N263" i="45" l="1"/>
  <c r="R263" i="45" s="1"/>
  <c r="N61" i="45"/>
  <c r="R61" i="45" s="1"/>
  <c r="N261" i="45"/>
  <c r="R261" i="45" s="1"/>
  <c r="N149" i="45"/>
  <c r="R149" i="45" s="1"/>
  <c r="Z33" i="37"/>
  <c r="M129" i="45"/>
  <c r="Q129" i="45" s="1"/>
  <c r="M137" i="45"/>
  <c r="Q137" i="45" s="1"/>
  <c r="Z34" i="37"/>
  <c r="M133" i="45"/>
  <c r="Q133" i="45" s="1"/>
  <c r="Z17" i="37"/>
  <c r="M61" i="45"/>
  <c r="Q61" i="45" s="1"/>
  <c r="Z36" i="37"/>
  <c r="M141" i="45"/>
  <c r="Q141" i="45" s="1"/>
  <c r="Z38" i="37"/>
  <c r="M149" i="45"/>
  <c r="Q149" i="45" s="1"/>
  <c r="Z62" i="37"/>
  <c r="M273" i="45"/>
  <c r="Q273" i="45" s="1"/>
  <c r="Z64" i="37"/>
  <c r="M285" i="45"/>
  <c r="Q285" i="45" s="1"/>
  <c r="N207" i="45"/>
  <c r="R207" i="45" s="1"/>
  <c r="AA56" i="37"/>
  <c r="M243" i="45"/>
  <c r="Q243" i="45" s="1"/>
  <c r="AA38" i="37"/>
  <c r="M151" i="45"/>
  <c r="Q151" i="45" s="1"/>
  <c r="AA49" i="37"/>
  <c r="M207" i="45"/>
  <c r="Q207" i="45" s="1"/>
  <c r="Z66" i="37"/>
  <c r="M297" i="45"/>
  <c r="Q297" i="45" s="1"/>
  <c r="N205" i="45"/>
  <c r="R205" i="45" s="1"/>
  <c r="Z56" i="37"/>
  <c r="M241" i="45"/>
  <c r="Q241" i="45" s="1"/>
  <c r="N241" i="45"/>
  <c r="R241" i="45" s="1"/>
  <c r="Z49" i="37"/>
  <c r="M205" i="45"/>
  <c r="Q205" i="45" s="1"/>
  <c r="AA17" i="37"/>
  <c r="M63" i="45"/>
  <c r="Q63" i="45" s="1"/>
  <c r="Z37" i="37"/>
  <c r="M145" i="45"/>
  <c r="Q145" i="45" s="1"/>
  <c r="M139" i="45"/>
  <c r="Q139" i="45" s="1"/>
  <c r="N151" i="45"/>
  <c r="R151" i="45" s="1"/>
  <c r="N63" i="45"/>
  <c r="R63" i="45" s="1"/>
  <c r="N243" i="45"/>
  <c r="R243" i="45" s="1"/>
  <c r="M239" i="45"/>
  <c r="Q239" i="45" s="1"/>
  <c r="M255" i="45"/>
  <c r="Q255" i="45" s="1"/>
  <c r="M17" i="45"/>
  <c r="Q17" i="45" s="1"/>
  <c r="M53" i="45"/>
  <c r="Q53" i="45" s="1"/>
  <c r="M45" i="45"/>
  <c r="Q45" i="45" s="1"/>
  <c r="M105" i="45"/>
  <c r="Q105" i="45" s="1"/>
  <c r="M85" i="45"/>
  <c r="Q85" i="45" s="1"/>
  <c r="M97" i="45"/>
  <c r="Q97" i="45" s="1"/>
  <c r="M293" i="45"/>
  <c r="Q293" i="45" s="1"/>
  <c r="M109" i="45"/>
  <c r="Q109" i="45" s="1"/>
  <c r="M281" i="45"/>
  <c r="Q281" i="45" s="1"/>
  <c r="M73" i="45"/>
  <c r="Q73" i="45" s="1"/>
  <c r="M21" i="45"/>
  <c r="Q21" i="45" s="1"/>
  <c r="M13" i="45"/>
  <c r="Q13" i="45" s="1"/>
  <c r="M25" i="45"/>
  <c r="Q25" i="45" s="1"/>
  <c r="M101" i="45"/>
  <c r="Q101" i="45" s="1"/>
  <c r="M41" i="45"/>
  <c r="Q41" i="45" s="1"/>
  <c r="M125" i="45"/>
  <c r="Q125" i="45" s="1"/>
  <c r="M81" i="45"/>
  <c r="Q81" i="45" s="1"/>
  <c r="M57" i="45"/>
  <c r="Q57" i="45" s="1"/>
  <c r="M201" i="45"/>
  <c r="Q201" i="45" s="1"/>
  <c r="M121" i="45"/>
  <c r="Q121" i="45" s="1"/>
  <c r="N197" i="45"/>
  <c r="R197" i="45" s="1"/>
  <c r="N169" i="45"/>
  <c r="R169" i="45" s="1"/>
  <c r="M165" i="45"/>
  <c r="Q165" i="45" s="1"/>
  <c r="M199" i="45"/>
  <c r="Q199" i="45" s="1"/>
  <c r="AA47" i="37"/>
  <c r="M167" i="45"/>
  <c r="Q167" i="45" s="1"/>
  <c r="M33" i="45"/>
  <c r="Q33" i="45" s="1"/>
  <c r="N163" i="45"/>
  <c r="R163" i="45" s="1"/>
  <c r="AC43" i="37"/>
  <c r="M197" i="45"/>
  <c r="Q197" i="45" s="1"/>
  <c r="Z47" i="37"/>
  <c r="M163" i="45"/>
  <c r="Q163" i="45" s="1"/>
  <c r="AA43" i="37"/>
  <c r="M161" i="45"/>
  <c r="Q161" i="45" s="1"/>
  <c r="Z43" i="37"/>
  <c r="N161" i="45"/>
  <c r="R161" i="45" s="1"/>
  <c r="AB43" i="37"/>
  <c r="N199" i="45"/>
  <c r="R199" i="45" s="1"/>
  <c r="AC47" i="37"/>
  <c r="M113" i="45"/>
  <c r="Q113" i="45" s="1"/>
  <c r="M117" i="45"/>
  <c r="Q117" i="45" s="1"/>
  <c r="M11" i="40"/>
  <c r="M193" i="45"/>
  <c r="Q193" i="45" s="1"/>
  <c r="N165" i="45"/>
  <c r="R165" i="45" s="1"/>
  <c r="N167" i="45"/>
  <c r="R167" i="45" s="1"/>
  <c r="N171" i="45"/>
  <c r="R171" i="45" s="1"/>
  <c r="M313" i="45"/>
  <c r="Q313" i="45" s="1"/>
  <c r="O10" i="40"/>
  <c r="M77" i="45"/>
  <c r="Q77" i="45" s="1"/>
  <c r="O12" i="40"/>
  <c r="O13" i="40"/>
  <c r="O11" i="40"/>
  <c r="M157" i="45"/>
  <c r="Q157" i="45" s="1"/>
  <c r="M305" i="45"/>
  <c r="Q305" i="45" s="1"/>
  <c r="M269" i="45"/>
  <c r="Q269" i="45" s="1"/>
  <c r="M37" i="45"/>
  <c r="Q37" i="45" s="1"/>
  <c r="M181" i="45"/>
  <c r="Q181" i="45" s="1"/>
  <c r="M89" i="45"/>
  <c r="Q89" i="45" s="1"/>
  <c r="M317" i="45"/>
  <c r="Q317" i="45" s="1"/>
  <c r="M309" i="45"/>
  <c r="Q309" i="45" s="1"/>
  <c r="Z60" i="37"/>
  <c r="Z70" i="37"/>
  <c r="M171" i="45"/>
  <c r="Q171" i="45" s="1"/>
  <c r="M169" i="45"/>
  <c r="Q169" i="45" s="1"/>
  <c r="N311" i="45"/>
  <c r="R311" i="45" s="1"/>
  <c r="N15" i="45"/>
  <c r="R15" i="45" s="1"/>
  <c r="AC7" i="37"/>
  <c r="N113" i="45"/>
  <c r="R113" i="45" s="1"/>
  <c r="AB23" i="37"/>
  <c r="M99" i="45"/>
  <c r="Q99" i="45" s="1"/>
  <c r="AA30" i="37"/>
  <c r="N271" i="45"/>
  <c r="R271" i="45" s="1"/>
  <c r="AC61" i="37"/>
  <c r="N83" i="45"/>
  <c r="R83" i="45" s="1"/>
  <c r="AC66" i="37"/>
  <c r="N59" i="45"/>
  <c r="R59" i="45" s="1"/>
  <c r="AC16" i="37"/>
  <c r="M233" i="45"/>
  <c r="Q233" i="45" s="1"/>
  <c r="AA54" i="37"/>
  <c r="M59" i="45"/>
  <c r="Q59" i="45" s="1"/>
  <c r="AA16" i="37"/>
  <c r="N283" i="45"/>
  <c r="R283" i="45" s="1"/>
  <c r="AC63" i="37"/>
  <c r="M15" i="45"/>
  <c r="Q15" i="45" s="1"/>
  <c r="AA7" i="37"/>
  <c r="N103" i="45"/>
  <c r="R103" i="45" s="1"/>
  <c r="AC33" i="37"/>
  <c r="N109" i="45"/>
  <c r="R109" i="45" s="1"/>
  <c r="AB22" i="37"/>
  <c r="M107" i="45"/>
  <c r="Q107" i="45" s="1"/>
  <c r="AA31" i="37"/>
  <c r="M257" i="45"/>
  <c r="Q257" i="45" s="1"/>
  <c r="AA59" i="37"/>
  <c r="AC28" i="37"/>
  <c r="N27" i="45"/>
  <c r="R27" i="45" s="1"/>
  <c r="N249" i="45"/>
  <c r="R249" i="45" s="1"/>
  <c r="AC57" i="37"/>
  <c r="M79" i="45"/>
  <c r="Q79" i="45" s="1"/>
  <c r="AA19" i="37"/>
  <c r="AB62" i="37"/>
  <c r="AC62" i="37"/>
  <c r="AB26" i="37"/>
  <c r="M83" i="45"/>
  <c r="Q83" i="45" s="1"/>
  <c r="M39" i="45"/>
  <c r="Q39" i="45" s="1"/>
  <c r="AA12" i="37"/>
  <c r="M55" i="45"/>
  <c r="Q55" i="45" s="1"/>
  <c r="AA15" i="37"/>
  <c r="N295" i="45"/>
  <c r="R295" i="45" s="1"/>
  <c r="N227" i="45"/>
  <c r="R227" i="45" s="1"/>
  <c r="AB69" i="37"/>
  <c r="N281" i="45"/>
  <c r="R281" i="45" s="1"/>
  <c r="AB63" i="37"/>
  <c r="N309" i="45"/>
  <c r="R309" i="45" s="1"/>
  <c r="M19" i="45"/>
  <c r="Q19" i="45" s="1"/>
  <c r="AA8" i="37"/>
  <c r="M119" i="45"/>
  <c r="Q119" i="45" s="1"/>
  <c r="AA36" i="37"/>
  <c r="M213" i="45"/>
  <c r="Q213" i="45" s="1"/>
  <c r="AA50" i="37"/>
  <c r="N25" i="45"/>
  <c r="R25" i="45" s="1"/>
  <c r="N79" i="45"/>
  <c r="R79" i="45" s="1"/>
  <c r="AC19" i="37"/>
  <c r="M111" i="45"/>
  <c r="Q111" i="45" s="1"/>
  <c r="AA22" i="37"/>
  <c r="M249" i="45"/>
  <c r="Q249" i="45" s="1"/>
  <c r="AA57" i="37"/>
  <c r="N43" i="45"/>
  <c r="R43" i="45" s="1"/>
  <c r="N77" i="45"/>
  <c r="R77" i="45" s="1"/>
  <c r="AB19" i="37"/>
  <c r="N87" i="45"/>
  <c r="R87" i="45" s="1"/>
  <c r="AC20" i="37"/>
  <c r="AA66" i="37"/>
  <c r="N233" i="45"/>
  <c r="R233" i="45" s="1"/>
  <c r="AC54" i="37"/>
  <c r="AC64" i="37"/>
  <c r="N213" i="45"/>
  <c r="R213" i="45" s="1"/>
  <c r="AC50" i="37"/>
  <c r="N47" i="45"/>
  <c r="R47" i="45" s="1"/>
  <c r="AC13" i="37"/>
  <c r="N307" i="45"/>
  <c r="R307" i="45" s="1"/>
  <c r="AC67" i="37"/>
  <c r="N239" i="45"/>
  <c r="R239" i="45" s="1"/>
  <c r="AB55" i="37"/>
  <c r="AB66" i="37"/>
  <c r="N37" i="45"/>
  <c r="R37" i="45" s="1"/>
  <c r="AB12" i="37"/>
  <c r="N53" i="45"/>
  <c r="R53" i="45" s="1"/>
  <c r="AB15" i="37"/>
  <c r="N75" i="45"/>
  <c r="R75" i="45" s="1"/>
  <c r="AC18" i="37"/>
  <c r="N255" i="45"/>
  <c r="R255" i="45" s="1"/>
  <c r="AB58" i="37"/>
  <c r="M159" i="45"/>
  <c r="Q159" i="45" s="1"/>
  <c r="M43" i="45"/>
  <c r="Q43" i="45" s="1"/>
  <c r="N123" i="45"/>
  <c r="R123" i="45" s="1"/>
  <c r="AC37" i="37"/>
  <c r="N117" i="45"/>
  <c r="R117" i="45" s="1"/>
  <c r="AB36" i="37"/>
  <c r="M295" i="45"/>
  <c r="Q295" i="45" s="1"/>
  <c r="M215" i="45"/>
  <c r="Q215" i="45" s="1"/>
  <c r="M315" i="45"/>
  <c r="Q315" i="45" s="1"/>
  <c r="AA68" i="37"/>
  <c r="M47" i="45"/>
  <c r="Q47" i="45" s="1"/>
  <c r="AA13" i="37"/>
  <c r="M307" i="45"/>
  <c r="Q307" i="45" s="1"/>
  <c r="AA67" i="37"/>
  <c r="N217" i="45"/>
  <c r="R217" i="45" s="1"/>
  <c r="AC51" i="37"/>
  <c r="N159" i="45"/>
  <c r="R159" i="45" s="1"/>
  <c r="N315" i="45"/>
  <c r="R315" i="45" s="1"/>
  <c r="AC68" i="37"/>
  <c r="N219" i="45"/>
  <c r="R219" i="45" s="1"/>
  <c r="AB51" i="37"/>
  <c r="N313" i="45"/>
  <c r="R313" i="45" s="1"/>
  <c r="AB68" i="37"/>
  <c r="N85" i="45"/>
  <c r="R85" i="45" s="1"/>
  <c r="AB20" i="37"/>
  <c r="AC34" i="37"/>
  <c r="N101" i="45"/>
  <c r="R101" i="45" s="1"/>
  <c r="AB33" i="37"/>
  <c r="N73" i="45"/>
  <c r="R73" i="45" s="1"/>
  <c r="AB18" i="37"/>
  <c r="N35" i="45"/>
  <c r="R35" i="45" s="1"/>
  <c r="AC11" i="37"/>
  <c r="N111" i="45"/>
  <c r="R111" i="45" s="1"/>
  <c r="AC22" i="37"/>
  <c r="N105" i="45"/>
  <c r="R105" i="45" s="1"/>
  <c r="AB31" i="37"/>
  <c r="N89" i="45"/>
  <c r="R89" i="45" s="1"/>
  <c r="AA34" i="37"/>
  <c r="N251" i="45"/>
  <c r="R251" i="45" s="1"/>
  <c r="AB57" i="37"/>
  <c r="M127" i="45"/>
  <c r="Q127" i="45" s="1"/>
  <c r="AA25" i="37"/>
  <c r="M225" i="45"/>
  <c r="Q225" i="45" s="1"/>
  <c r="AA64" i="37"/>
  <c r="M217" i="45"/>
  <c r="Q217" i="45" s="1"/>
  <c r="AA51" i="37"/>
  <c r="M311" i="45"/>
  <c r="Q311" i="45" s="1"/>
  <c r="N81" i="45"/>
  <c r="R81" i="45" s="1"/>
  <c r="N41" i="45"/>
  <c r="R41" i="45" s="1"/>
  <c r="N57" i="45"/>
  <c r="R57" i="45" s="1"/>
  <c r="AB16" i="37"/>
  <c r="M27" i="45"/>
  <c r="Q27" i="45" s="1"/>
  <c r="N115" i="45"/>
  <c r="R115" i="45" s="1"/>
  <c r="AC23" i="37"/>
  <c r="N97" i="45"/>
  <c r="R97" i="45" s="1"/>
  <c r="AB30" i="37"/>
  <c r="M91" i="45"/>
  <c r="Q91" i="45" s="1"/>
  <c r="N269" i="45"/>
  <c r="R269" i="45" s="1"/>
  <c r="AB61" i="37"/>
  <c r="N253" i="45"/>
  <c r="R253" i="45" s="1"/>
  <c r="AC58" i="37"/>
  <c r="N125" i="45"/>
  <c r="R125" i="45" s="1"/>
  <c r="AB25" i="37"/>
  <c r="N17" i="45"/>
  <c r="R17" i="45" s="1"/>
  <c r="AB8" i="37"/>
  <c r="AA62" i="37"/>
  <c r="M271" i="45"/>
  <c r="Q271" i="45" s="1"/>
  <c r="AA61" i="37"/>
  <c r="AA26" i="37"/>
  <c r="M87" i="45"/>
  <c r="Q87" i="45" s="1"/>
  <c r="AA20" i="37"/>
  <c r="M251" i="45"/>
  <c r="Q251" i="45" s="1"/>
  <c r="AC26" i="37"/>
  <c r="N121" i="45"/>
  <c r="R121" i="45" s="1"/>
  <c r="AB37" i="37"/>
  <c r="AA69" i="37"/>
  <c r="M235" i="45"/>
  <c r="Q235" i="45" s="1"/>
  <c r="M283" i="45"/>
  <c r="Q283" i="45" s="1"/>
  <c r="AA63" i="37"/>
  <c r="N225" i="45"/>
  <c r="R225" i="45" s="1"/>
  <c r="AC69" i="37"/>
  <c r="N237" i="45"/>
  <c r="R237" i="45" s="1"/>
  <c r="AC55" i="37"/>
  <c r="N293" i="45"/>
  <c r="R293" i="45" s="1"/>
  <c r="N157" i="45"/>
  <c r="R157" i="45" s="1"/>
  <c r="N319" i="45"/>
  <c r="R319" i="45" s="1"/>
  <c r="M75" i="45"/>
  <c r="Q75" i="45" s="1"/>
  <c r="AA18" i="37"/>
  <c r="N21" i="45"/>
  <c r="R21" i="45" s="1"/>
  <c r="AB9" i="37"/>
  <c r="AA60" i="37"/>
  <c r="N119" i="45"/>
  <c r="R119" i="45" s="1"/>
  <c r="AC36" i="37"/>
  <c r="N127" i="45"/>
  <c r="R127" i="45" s="1"/>
  <c r="AC25" i="37"/>
  <c r="M123" i="45"/>
  <c r="Q123" i="45" s="1"/>
  <c r="AA37" i="37"/>
  <c r="AA28" i="37"/>
  <c r="M35" i="45"/>
  <c r="Q35" i="45" s="1"/>
  <c r="AA11" i="37"/>
  <c r="N99" i="45"/>
  <c r="R99" i="45" s="1"/>
  <c r="AC30" i="37"/>
  <c r="N13" i="45"/>
  <c r="R13" i="45" s="1"/>
  <c r="AB7" i="37"/>
  <c r="M23" i="45"/>
  <c r="Q23" i="45" s="1"/>
  <c r="AA9" i="37"/>
  <c r="AB28" i="37"/>
  <c r="N33" i="45"/>
  <c r="R33" i="45" s="1"/>
  <c r="AB11" i="37"/>
  <c r="N19" i="45"/>
  <c r="R19" i="45" s="1"/>
  <c r="AC8" i="37"/>
  <c r="N23" i="45"/>
  <c r="R23" i="45" s="1"/>
  <c r="AC9" i="37"/>
  <c r="N107" i="45"/>
  <c r="R107" i="45" s="1"/>
  <c r="AC31" i="37"/>
  <c r="N91" i="45"/>
  <c r="R91" i="45" s="1"/>
  <c r="AB34" i="37"/>
  <c r="M115" i="45"/>
  <c r="Q115" i="45" s="1"/>
  <c r="AA23" i="37"/>
  <c r="M103" i="45"/>
  <c r="Q103" i="45" s="1"/>
  <c r="AA33" i="37"/>
  <c r="N259" i="45"/>
  <c r="R259" i="45" s="1"/>
  <c r="AB59" i="37"/>
  <c r="M253" i="45"/>
  <c r="Q253" i="45" s="1"/>
  <c r="AA58" i="37"/>
  <c r="M259" i="45"/>
  <c r="Q259" i="45" s="1"/>
  <c r="N257" i="45"/>
  <c r="R257" i="45" s="1"/>
  <c r="AC59" i="37"/>
  <c r="M227" i="45"/>
  <c r="Q227" i="45" s="1"/>
  <c r="AA70" i="37"/>
  <c r="M237" i="45"/>
  <c r="Q237" i="45" s="1"/>
  <c r="AA55" i="37"/>
  <c r="M319" i="45"/>
  <c r="Q319" i="45" s="1"/>
  <c r="N39" i="45"/>
  <c r="R39" i="45" s="1"/>
  <c r="AC12" i="37"/>
  <c r="N55" i="45"/>
  <c r="R55" i="45" s="1"/>
  <c r="AC15" i="37"/>
  <c r="N235" i="45"/>
  <c r="R235" i="45" s="1"/>
  <c r="AB54" i="37"/>
  <c r="AB64" i="37"/>
  <c r="N215" i="45"/>
  <c r="R215" i="45" s="1"/>
  <c r="AB50" i="37"/>
  <c r="N45" i="45"/>
  <c r="R45" i="45" s="1"/>
  <c r="AB13" i="37"/>
  <c r="N305" i="45"/>
  <c r="R305" i="45" s="1"/>
  <c r="AB67" i="37"/>
  <c r="N317" i="45"/>
  <c r="R317" i="45" s="1"/>
  <c r="N201" i="45"/>
  <c r="R201" i="45" s="1"/>
  <c r="M203" i="45"/>
  <c r="Q203" i="45" s="1"/>
  <c r="N203" i="45"/>
  <c r="R203" i="45" s="1"/>
  <c r="N193" i="45"/>
  <c r="R193" i="45" s="1"/>
  <c r="AB46" i="37"/>
  <c r="N195" i="45"/>
  <c r="R195" i="45" s="1"/>
  <c r="AC46" i="37"/>
  <c r="M195" i="45"/>
  <c r="Q195" i="45" s="1"/>
  <c r="AA46" i="37"/>
  <c r="N181" i="45"/>
  <c r="R181" i="45" s="1"/>
  <c r="AB45" i="37"/>
  <c r="M183" i="45"/>
  <c r="Q183" i="45" s="1"/>
  <c r="AA45" i="37"/>
  <c r="N183" i="45"/>
  <c r="R183" i="45" s="1"/>
  <c r="AC45" i="37"/>
  <c r="M13" i="40"/>
  <c r="N13" i="40"/>
  <c r="N11" i="40"/>
  <c r="N189" i="45"/>
  <c r="R189" i="45" s="1"/>
  <c r="N10" i="40"/>
  <c r="K28" i="40" s="1"/>
  <c r="M189" i="45"/>
  <c r="Q189" i="45" s="1"/>
  <c r="M10" i="40"/>
  <c r="K26" i="40" s="1"/>
  <c r="P26" i="40" s="1"/>
  <c r="N191" i="45"/>
  <c r="R191" i="45" s="1"/>
  <c r="N12" i="40"/>
  <c r="K29" i="40" s="1"/>
  <c r="O29" i="40" s="1"/>
  <c r="M191" i="45"/>
  <c r="Q191" i="45" s="1"/>
  <c r="M12" i="40"/>
  <c r="K27" i="40" s="1"/>
  <c r="N9" i="45"/>
  <c r="R9" i="45" s="1"/>
  <c r="M9" i="45"/>
  <c r="Q9" i="45" s="1"/>
  <c r="M11" i="45"/>
  <c r="Q11" i="45" s="1"/>
  <c r="N11" i="45"/>
  <c r="R11" i="45" s="1"/>
  <c r="O25" i="40"/>
  <c r="U13" i="40"/>
  <c r="M24" i="40" l="1"/>
  <c r="N29" i="40"/>
  <c r="P29" i="40"/>
  <c r="M29" i="40"/>
  <c r="L29" i="40"/>
  <c r="L25" i="40"/>
  <c r="N25" i="40"/>
  <c r="P25" i="40"/>
  <c r="M25" i="40"/>
  <c r="M26" i="40"/>
  <c r="L26" i="40"/>
  <c r="N26" i="40"/>
  <c r="O26" i="40"/>
  <c r="W15" i="40"/>
  <c r="Z27" i="40" s="1"/>
  <c r="X27" i="40"/>
  <c r="W17" i="40"/>
  <c r="AA27" i="40" s="1"/>
  <c r="W13" i="40"/>
  <c r="Y27" i="40" s="1"/>
  <c r="P27" i="40"/>
  <c r="L27" i="40"/>
  <c r="M27" i="40"/>
  <c r="O27" i="40"/>
  <c r="N27" i="40"/>
  <c r="U17" i="40"/>
  <c r="U15" i="40"/>
  <c r="X15" i="40"/>
  <c r="X17" i="40"/>
  <c r="X29" i="40"/>
  <c r="X13" i="40"/>
  <c r="O28" i="40"/>
  <c r="N28" i="40"/>
  <c r="L28" i="40"/>
  <c r="M28" i="40"/>
  <c r="P28" i="40"/>
  <c r="V13" i="40"/>
  <c r="V17" i="40"/>
  <c r="V15" i="40"/>
  <c r="O24" i="40" l="1"/>
  <c r="P24" i="40"/>
  <c r="N24" i="40"/>
  <c r="L24" i="40"/>
  <c r="Y29" i="40"/>
  <c r="AA29" i="40"/>
  <c r="Z29" i="40"/>
  <c r="U12" i="40"/>
  <c r="U14" i="40"/>
  <c r="U16" i="40"/>
  <c r="W14" i="40" l="1"/>
  <c r="Z26" i="40" s="1"/>
  <c r="X26" i="40"/>
  <c r="W16" i="40"/>
  <c r="AA26" i="40" s="1"/>
  <c r="W12" i="40"/>
  <c r="Y26" i="40" s="1"/>
  <c r="V14" i="40"/>
  <c r="V16" i="40"/>
  <c r="V12" i="40"/>
  <c r="X16" i="40"/>
  <c r="X12" i="40"/>
  <c r="X28" i="40"/>
  <c r="X14" i="40"/>
  <c r="Y28" i="40" l="1"/>
  <c r="Z28" i="40"/>
  <c r="AA28" i="40"/>
</calcChain>
</file>

<file path=xl/sharedStrings.xml><?xml version="1.0" encoding="utf-8"?>
<sst xmlns="http://schemas.openxmlformats.org/spreadsheetml/2006/main" count="3363" uniqueCount="553">
  <si>
    <t>PUBLIC RELEASE DRAFT</t>
  </si>
  <si>
    <t>Draft Risk Evaluation for trans-1,2-dichloroethylene</t>
  </si>
  <si>
    <t>Description</t>
  </si>
  <si>
    <t>Supplemental File on trans-1,2-dichloroethylene Risk Calculations</t>
  </si>
  <si>
    <t>Description of this workbook:</t>
  </si>
  <si>
    <t>Key Worksheets</t>
  </si>
  <si>
    <t>Calculation Summary</t>
  </si>
  <si>
    <t xml:space="preserve">This tab contains a summary of the equations and calculations used for the risk calculator. </t>
  </si>
  <si>
    <t>Dashboard</t>
  </si>
  <si>
    <r>
      <t>This Dashboard is an interactive spreadsheet that allows a user to view exposure results for a selected COU. The user can select a) the desired COU, and b) dermal exposures for the worker type (either an average adult or a woman of childbearing age) from a drop-down menu. The exposure estimates are shown in the “</t>
    </r>
    <r>
      <rPr>
        <i/>
        <sz val="11"/>
        <rFont val="Arial"/>
        <family val="2"/>
      </rPr>
      <t>Exposure Outputs</t>
    </r>
    <r>
      <rPr>
        <sz val="11"/>
        <rFont val="Arial"/>
        <family val="2"/>
      </rPr>
      <t xml:space="preserve">” section for both inhalation and dermal routes and for high-end and central tendency exposures. For inhalation exposures the columns show results for both worker and occupational non-user (ONU) exposures. The “Risk Estimation” sections are separated into acute, chronic non-cancer and cancer sections. For each section there is a brief description of the hazard endpoint and the hazard value i.e. human equivalent concentration (HEC) for non-cancer effects from inhalation exposure, human equivalent dose (HED) for non-cancer effects from dermal exposure or a slope factor for cancer and the benchmark margins of exposure (MOEs) or benchmark values for cancer risk are provided to the right of the hazard value. The risk estimations show one column for exposures without PPE. Note that acute health data (HEC) are on a 15-min basis. Intermediate and chronic health data are on an 8-hr basis. </t>
    </r>
  </si>
  <si>
    <t>Bridge Table</t>
  </si>
  <si>
    <t xml:space="preserve">The table provides summary of the risk estimates for inhalation and dermal exposures for all occupational exposure scenarios.  Risk estimates that exceed the benchmark (i.e., MOEs less than the benchmark MOE or cancer risks greater than the cancer risk benchmark) are highlighted by bolding the number and shading the cell. </t>
  </si>
  <si>
    <t>Risk Reduction</t>
  </si>
  <si>
    <t>As described above the remaining spreadsheets are data storage and calculation spreadsheets. These worksheets store the exposure estimates, health values and store some of the risk calculations. The user does not need to access these worksheets to use the Dashboard and Risk Reduction spreadsheets as described above; all results are automatically loaded into the Dashboard and Risk Reduction spreadsheets.</t>
  </si>
  <si>
    <t>Equations and Calculations Used for Risk Calculator</t>
  </si>
  <si>
    <t>Exposure Type</t>
  </si>
  <si>
    <t>Equation</t>
  </si>
  <si>
    <t>Equation Parameters</t>
  </si>
  <si>
    <r>
      <t>Inhalation Exposure Calculations</t>
    </r>
    <r>
      <rPr>
        <b/>
        <vertAlign val="superscript"/>
        <sz val="10"/>
        <color theme="1"/>
        <rFont val="Calibri"/>
        <family val="2"/>
        <scheme val="minor"/>
      </rPr>
      <t>a</t>
    </r>
  </si>
  <si>
    <t>Acute Concentration (AC) (ppm)</t>
  </si>
  <si>
    <t>15-min STEL concentration</t>
  </si>
  <si>
    <t>Intermediate Average Daily Concentration (ADC)(ppm)</t>
  </si>
  <si>
    <t>8-hr TWA concentration x ED x EF_I/AT_ADC_I</t>
  </si>
  <si>
    <t>- ED = 8 hr/day
- EF_I = The exposure days in the numerator will typically be 22 days/yr when the total exposure days/yr is &gt;22 days/yr or equal to the total exposure days/yr if the total is &lt;22 days/yr. This maximizes the number of exposure days in the intermediate timeframe, accounting for days off.  However, we may adjust this approach if we have specific information about the OES. For example, if we know that facilities operate using a single, week-long campaign, once per month (i.e., 7 days/month x 12 months). In this case, we would use 7 days for the intermediate exposure days.
- AT_ADC_I= 720 hr (i.e. 30 days x 24 hr/day)</t>
  </si>
  <si>
    <r>
      <t>Chronic Average Daily Concentration (ADC</t>
    </r>
    <r>
      <rPr>
        <vertAlign val="subscript"/>
        <sz val="10"/>
        <color theme="1"/>
        <rFont val="Calibri"/>
        <family val="2"/>
        <scheme val="minor"/>
      </rPr>
      <t>intermediate</t>
    </r>
    <r>
      <rPr>
        <sz val="10"/>
        <color theme="1"/>
        <rFont val="Calibri"/>
        <family val="2"/>
        <scheme val="minor"/>
      </rPr>
      <t>)(ppm)</t>
    </r>
  </si>
  <si>
    <t>8-hr TWA concentration x ED x EF x WY/AT_ADC</t>
  </si>
  <si>
    <t>- ED = 8 hr/day
- EF = 24-250 days depending on OES
- WY = 31 (central tendency) to 40 yr (high-end)
- AT_ADC = 271,560 (central tendency) to 350,400 hr (high-end) (i.e. WY x 365 days/yr x 24 hr/day)</t>
  </si>
  <si>
    <t>Lifetime Average Daily Concentration (LADC)(ppm)</t>
  </si>
  <si>
    <t>8-hr TWA concentration x ED x EF x WY/AT_LADC</t>
  </si>
  <si>
    <t>- ED = 8 hr/day
- EF = 24-250 days depending on OES
- WY = 31 (central tendency) to 40 yr (high-end)
- AT_LADC = 683,280 hr (i.e. 78 yr x 365 days/yr x 24 hr/day)</t>
  </si>
  <si>
    <t>a - Inhalation metrics (AC, intermediate ADC, chronic ADC, LADC) will all be multiplied by a breathing rate ratio of 1.25/0.6125.</t>
  </si>
  <si>
    <t>Non-Cancer Inhalation Exposure Risk Calculations</t>
  </si>
  <si>
    <t>Human Equivalent Concentration (HEC) (ppm)</t>
  </si>
  <si>
    <t>see Health Data tab</t>
  </si>
  <si>
    <t>Benchmark Margin of Exposure (MOE) (unitless)</t>
  </si>
  <si>
    <t>Acute MOE (unitless)</t>
  </si>
  <si>
    <t>HEC / AC</t>
  </si>
  <si>
    <t>The calculated MOE is then compared with the Benchmark MOE; if the calculated MOE is less than the benchmark MOE then there is risk.</t>
  </si>
  <si>
    <t>Chronic, Non-Cancer MOE (unitless)</t>
  </si>
  <si>
    <t>HEC / ADC</t>
  </si>
  <si>
    <t>Cancer Inhalation Exposure Risk Calculations</t>
  </si>
  <si>
    <r>
      <t>Inhalation Unit Risk (ppm</t>
    </r>
    <r>
      <rPr>
        <vertAlign val="superscript"/>
        <sz val="10"/>
        <color theme="1"/>
        <rFont val="Calibri"/>
        <family val="2"/>
        <scheme val="minor"/>
      </rPr>
      <t>-1</t>
    </r>
    <r>
      <rPr>
        <sz val="10"/>
        <color theme="1"/>
        <rFont val="Calibri"/>
        <family val="2"/>
        <scheme val="minor"/>
      </rPr>
      <t>)</t>
    </r>
  </si>
  <si>
    <t>Cancer risk (unitless)</t>
  </si>
  <si>
    <t>IUR x LADC</t>
  </si>
  <si>
    <t xml:space="preserve">Cancer risk in a population (i.e., 1 in XXX). This value is then compared with the cancer risk benchmarks of 10-4 (1-in-1,000) </t>
  </si>
  <si>
    <t>Dermal Exposures</t>
  </si>
  <si>
    <t>SA x Qu x Fabs x Yderm x FT</t>
  </si>
  <si>
    <t>- BW = Body weight: 80 kg (average adult worker), 72.4 kg (woman of childbearing age)</t>
  </si>
  <si>
    <t>- EF_I = The exposure days in the numerator will typically be 22 days/yr when the total exposure days/yr is &gt;22 days/yr or equal to the total exposure days/yr if the total is &lt;22 days/yr. This maximizes the number of exposure days in the intermediate timeframe, accounting for days off.  
- WY = Working years for the intermediate period (yrs)—not used for intermediate 					effects resulting from &lt;1 yr of exposures
- AT = 30 days</t>
  </si>
  <si>
    <t>- EF = 250 days
- WY = 31 (central tendency) to 40 yr (high-end)
- AT = 11,315 day (central tendency) to 14,600 day (high-end) (i.e. WY x 365 days/yr)</t>
  </si>
  <si>
    <t xml:space="preserve">- EF = 250 days
- WY = 31 (central tendency) to 40 yr (high-end)
- AT = 28,470 day </t>
  </si>
  <si>
    <t>Non-Cancer Dermal Exposure Risk Calculations</t>
  </si>
  <si>
    <t>Human Equivalent Dose (HED) (ppm)</t>
  </si>
  <si>
    <t>HED / ARD</t>
  </si>
  <si>
    <t>HED / CRD</t>
  </si>
  <si>
    <r>
      <t>Dermal Cancer Slope Factor (CSF)(mg/kg-day</t>
    </r>
    <r>
      <rPr>
        <vertAlign val="superscript"/>
        <sz val="10"/>
        <color theme="1"/>
        <rFont val="Calibri"/>
        <family val="2"/>
        <scheme val="minor"/>
      </rPr>
      <t>-1</t>
    </r>
    <r>
      <rPr>
        <sz val="10"/>
        <color theme="1"/>
        <rFont val="Calibri"/>
        <family val="2"/>
        <scheme val="minor"/>
      </rPr>
      <t>)</t>
    </r>
  </si>
  <si>
    <t>CSF x CRD (Cancer)</t>
  </si>
  <si>
    <t>Condition of Use</t>
  </si>
  <si>
    <t>Dermal</t>
  </si>
  <si>
    <t>Select the Condition of Use (select)</t>
  </si>
  <si>
    <t>OES</t>
  </si>
  <si>
    <t>Manufacturing as a Byproduct (Operator – Distillation Operation)</t>
  </si>
  <si>
    <t>Exposure Outputs</t>
  </si>
  <si>
    <t>Category</t>
  </si>
  <si>
    <t>Exposure Level</t>
  </si>
  <si>
    <t>Acute, Non-Cancer Exposures</t>
  </si>
  <si>
    <t>Potential Dose Rate</t>
  </si>
  <si>
    <t>Chronic Retained Dose, Cancer</t>
  </si>
  <si>
    <t>Worker</t>
  </si>
  <si>
    <t>High End</t>
  </si>
  <si>
    <t>Worker, No Gloves</t>
  </si>
  <si>
    <t>Central Tendency</t>
  </si>
  <si>
    <t>HEC (ppm)</t>
  </si>
  <si>
    <t>Benchmark MOE 
(= Total UF)</t>
  </si>
  <si>
    <t>HED (mg/kg)</t>
  </si>
  <si>
    <t>Tox1</t>
  </si>
  <si>
    <t>Tox4</t>
  </si>
  <si>
    <t>Intermediate, Non-Cancer Exposures</t>
  </si>
  <si>
    <t>Chronic, Non-Cancer Exposures</t>
  </si>
  <si>
    <t>Tox5</t>
  </si>
  <si>
    <t>ONU</t>
  </si>
  <si>
    <t>Tox2</t>
  </si>
  <si>
    <t>Tox3</t>
  </si>
  <si>
    <t>Summary of Risk Estimates for Inhalation and Dermal Exposures to Workers by Condition of Use</t>
  </si>
  <si>
    <t>Benchmarks</t>
  </si>
  <si>
    <t>Inhalation
8-hr TWA</t>
  </si>
  <si>
    <t>n/a</t>
  </si>
  <si>
    <t>Respirator APF =</t>
  </si>
  <si>
    <t>Glove PF =</t>
  </si>
  <si>
    <t>OES Group</t>
  </si>
  <si>
    <t>Population</t>
  </si>
  <si>
    <t>Exposure Route</t>
  </si>
  <si>
    <t>Life Cycle Stage/ Category</t>
  </si>
  <si>
    <t>Subcategory</t>
  </si>
  <si>
    <t>Occupational Exposure Scenario</t>
  </si>
  <si>
    <t>Exposure Route and Duration</t>
  </si>
  <si>
    <t>Risk Estimates for No PPE</t>
  </si>
  <si>
    <t>Risk Estimates with PPE</t>
  </si>
  <si>
    <t>Select the PPE APF or PF for Each OES, Receptor, and Endpoint</t>
  </si>
  <si>
    <t>Acute (Short-Term) Non-cancer</t>
  </si>
  <si>
    <t>Acute (8hr) Non-cancer</t>
  </si>
  <si>
    <t>Intermediate Non-cancer</t>
  </si>
  <si>
    <t>Chronic Non-cancer</t>
  </si>
  <si>
    <t>Acute Non-cancer HEC (ppm) and HED (mg/kg-d)</t>
  </si>
  <si>
    <t>Intermediate Non-cancer HEC (ppm) and HED (mg/kg-d)</t>
  </si>
  <si>
    <t>Chronic Non-cancer HEC (ppm) and HED (mg/kg-d)</t>
  </si>
  <si>
    <t>1a</t>
  </si>
  <si>
    <t>Inhalation</t>
  </si>
  <si>
    <t>Manufacture/
Domestic Manufacturing</t>
  </si>
  <si>
    <t>Manufacturing as a Primary Product</t>
  </si>
  <si>
    <t>Inhalation
Short-Term, 8-hr (acute)
8-hr TWA (intermediate/chronic)</t>
  </si>
  <si>
    <t>APF</t>
  </si>
  <si>
    <t>High-End</t>
  </si>
  <si>
    <t>1b</t>
  </si>
  <si>
    <t>1c</t>
  </si>
  <si>
    <t>1d</t>
  </si>
  <si>
    <t>1e</t>
  </si>
  <si>
    <t>Manufacturing as a Primary Product (All SEGs)</t>
  </si>
  <si>
    <t>PF</t>
  </si>
  <si>
    <t>2a</t>
  </si>
  <si>
    <t>Manufacturing as a Byproduct</t>
  </si>
  <si>
    <t>Manufacturing as a Byproduct (Outside Lead Operator/B-Operator –Batch Manufacturing)</t>
  </si>
  <si>
    <t>2b</t>
  </si>
  <si>
    <t>2c</t>
  </si>
  <si>
    <t>Manufacturing as a Byproduct (Shipping/Warehouse Worker – Batch Manufacturing)</t>
  </si>
  <si>
    <t>2d</t>
  </si>
  <si>
    <t>Manufacturing as a Byproduct (Laboratory Technician – Batch Manufacturing)</t>
  </si>
  <si>
    <t>2e</t>
  </si>
  <si>
    <t>Manufacturing as a Byproduct (Overall Worker, combined data)</t>
  </si>
  <si>
    <t>Manufacturing as a Byproduct (All)</t>
  </si>
  <si>
    <t>3a</t>
  </si>
  <si>
    <t>Import / Repackaging</t>
  </si>
  <si>
    <t>Repackaging (Drum Filler)</t>
  </si>
  <si>
    <t>3b</t>
  </si>
  <si>
    <t>Repackaging (Packaging Operator)</t>
  </si>
  <si>
    <t>Repackaging (All)</t>
  </si>
  <si>
    <t>4a</t>
  </si>
  <si>
    <t>Processing / As a Reactant</t>
  </si>
  <si>
    <t>Intermediate in chemical product and preparation manufacturing and all other basic organic chemical manufacturing</t>
  </si>
  <si>
    <t>Processing as a Reactant (Outside Lead Operator/B-Operator –Batch Manufacturing)</t>
  </si>
  <si>
    <t>4b</t>
  </si>
  <si>
    <t>Processing as a Reactant (Operator – Distillation Operation)</t>
  </si>
  <si>
    <t>4c</t>
  </si>
  <si>
    <t>Processing as a Reactant (Shipping/Warehouse Worker – Batch Manufacturing)</t>
  </si>
  <si>
    <t>4d</t>
  </si>
  <si>
    <t>Processing as a Reactant (Laboratory Technician – Batch Manufacturing)</t>
  </si>
  <si>
    <t>4e</t>
  </si>
  <si>
    <t>Processing as a Reactant (All)</t>
  </si>
  <si>
    <t>5a</t>
  </si>
  <si>
    <t>Processing / Incorporation into a formulation, mixture, or reaction product</t>
  </si>
  <si>
    <t>Processing into Formulation, Mixture, or Reaction Product (Batch maker)</t>
  </si>
  <si>
    <t>5b</t>
  </si>
  <si>
    <t>Processing into Formulation, Mixture, or Reaction Product (Coat &amp; Wash Operations Tech)</t>
  </si>
  <si>
    <t>5c</t>
  </si>
  <si>
    <t>Processing into Formulation, Mixture, or Reaction Product (Distillation Operation Tech)</t>
  </si>
  <si>
    <t>5d</t>
  </si>
  <si>
    <t>Processing into Formulation, Mixture, or Reaction Product (Drum filler)</t>
  </si>
  <si>
    <t>5e</t>
  </si>
  <si>
    <t>5f</t>
  </si>
  <si>
    <t>Processing into Formulation, Mixture, or Reaction Product (Process Operator)</t>
  </si>
  <si>
    <t>5g</t>
  </si>
  <si>
    <t>Processing into Formulation, Mixture, or Reaction Product (Production Technician)</t>
  </si>
  <si>
    <t>5h</t>
  </si>
  <si>
    <t>Processing into Formulation, Mixture, or Reaction Product (QC Technician)</t>
  </si>
  <si>
    <t>5i</t>
  </si>
  <si>
    <t>Processing into Formulation, Mixture, or Reaction Product (RGA Operations Tech)</t>
  </si>
  <si>
    <t>5j</t>
  </si>
  <si>
    <t>Processing into Formulation, Mixture, or Reaction Product (Technician ‐ Aerosol Packaging)</t>
  </si>
  <si>
    <t>5k</t>
  </si>
  <si>
    <t>Processing into Formulation, Mixture, or Reaction Product (Technician ‐ Blending)</t>
  </si>
  <si>
    <t>5l</t>
  </si>
  <si>
    <t>Processing into Formulation, Mixture, or Reaction Product (Overall Worker, combined data)</t>
  </si>
  <si>
    <t>Processing into Formulation, Mixture, or Reaction Product (All)</t>
  </si>
  <si>
    <t>Commercial Use - Propellants, non-motive (blowing agent)</t>
  </si>
  <si>
    <t>Polyurethane Foam Building Insulation and Foam Sealant (Barrier)</t>
  </si>
  <si>
    <t>Blowing Agent in Spray Foam</t>
  </si>
  <si>
    <t>7a</t>
  </si>
  <si>
    <t>Industrial/ commercial use -Adhesion / cohesion promoter</t>
  </si>
  <si>
    <t>Solvent-based adhesives and sealants; adhesive accelerant</t>
  </si>
  <si>
    <t>7b</t>
  </si>
  <si>
    <t>7c</t>
  </si>
  <si>
    <t>Application of Adhesives and Sealants (Unknown Application Method)</t>
  </si>
  <si>
    <t>Application of Adhesives and Sealants (All)</t>
  </si>
  <si>
    <t>8a</t>
  </si>
  <si>
    <t>Industrial / commercial use - Paints and Coatings</t>
  </si>
  <si>
    <t>Urethane and conformal coatings</t>
  </si>
  <si>
    <t>8b</t>
  </si>
  <si>
    <t>Application of Paints and Coatings (All)</t>
  </si>
  <si>
    <t>9a</t>
  </si>
  <si>
    <t xml:space="preserve">Industrial / commercial use - Cleaning Agent, Anti-adhesive / cohesive, Lubricating agent, Other uses </t>
  </si>
  <si>
    <t>Aerosol spray cleaner/degreaser, Mold release, Liquid and spray lubricants and greases; penetrating lubricants and fluids, and cutting oil; Specialized detection indicator paints (temperature, ammonia, hydrocarbons, etc.)</t>
  </si>
  <si>
    <t>Commercial Aerosol Products (Mechanic)</t>
  </si>
  <si>
    <t>9b</t>
  </si>
  <si>
    <t>Commercial Aerosol Products (Technicians)</t>
  </si>
  <si>
    <t>9c</t>
  </si>
  <si>
    <t>Commercial Aerosol Products (Overall Worker, combined data)</t>
  </si>
  <si>
    <t>Commercial Aerosol Product (All)</t>
  </si>
  <si>
    <t>10a</t>
  </si>
  <si>
    <t>Non-aerosol cleaner/degreaser</t>
  </si>
  <si>
    <t>Non-Aerosol Cleaning &amp; Degreasing (Aircraft Technician Performing Cleaning Task)</t>
  </si>
  <si>
    <t>10b</t>
  </si>
  <si>
    <t>Non-Aerosol Cleaning &amp; Degreasing (Flight Mechanics Performing Flush Cleaning)</t>
  </si>
  <si>
    <t>10c</t>
  </si>
  <si>
    <t>10d</t>
  </si>
  <si>
    <t>Non-Aerosol Cleaning &amp; Degreasing (Overall Worker, combined data)</t>
  </si>
  <si>
    <t>11a</t>
  </si>
  <si>
    <t>Industrial / commercial use - Cleaning Agent, Surface Modifier</t>
  </si>
  <si>
    <t>Vapor Degreasing, Smoothing Fluid in Additive Manufacturing</t>
  </si>
  <si>
    <t>11b</t>
  </si>
  <si>
    <t>Vapor Degreasing (Operator)</t>
  </si>
  <si>
    <t>11f</t>
  </si>
  <si>
    <t xml:space="preserve">Misc Non-Aerosol Use </t>
  </si>
  <si>
    <t>Industrial / commercial use - Refrigerants</t>
  </si>
  <si>
    <t>Refrigerant and Refrigerant Flush</t>
  </si>
  <si>
    <t>Industrial/ commercial use - Other Uses</t>
  </si>
  <si>
    <t>Laboratory Chemical</t>
  </si>
  <si>
    <t>Laboratory Use (Laboratory Technician – Batch Manufacturing)</t>
  </si>
  <si>
    <t>15a</t>
  </si>
  <si>
    <t>Waste Handling, Treatment, and Disposal</t>
  </si>
  <si>
    <t>Waste Handling, Treatment, and Disposal (Landfills)</t>
  </si>
  <si>
    <t>15b</t>
  </si>
  <si>
    <t>Waste Handling, Treatment, and Disposal (Incinerators)</t>
  </si>
  <si>
    <t>15c</t>
  </si>
  <si>
    <t>Waste Handling, Treatment, and Disposal (POTW)</t>
  </si>
  <si>
    <t>15d</t>
  </si>
  <si>
    <t>Waste Handling, Treatment, and Disposal (non-POTW WWT)</t>
  </si>
  <si>
    <t>Waste Handling, Treatment, and Disposal (All)</t>
  </si>
  <si>
    <t>Inhalation Exposure</t>
  </si>
  <si>
    <t>Exposure Type 
(select)</t>
  </si>
  <si>
    <t>Inhalation Exposures</t>
  </si>
  <si>
    <t>Acute, Short-Term Exposures</t>
  </si>
  <si>
    <t>Acute, 8-hr TWA Exposures</t>
  </si>
  <si>
    <t>Acute, 24-hr TWA Non-Cancer Exposures</t>
  </si>
  <si>
    <t>Chronic, Cancer Exposures</t>
  </si>
  <si>
    <r>
      <t>C</t>
    </r>
    <r>
      <rPr>
        <b/>
        <vertAlign val="subscript"/>
        <sz val="10"/>
        <rFont val="Calibri"/>
        <family val="2"/>
        <scheme val="minor"/>
      </rPr>
      <t>tDCE</t>
    </r>
    <r>
      <rPr>
        <b/>
        <sz val="10"/>
        <rFont val="Calibri"/>
        <family val="2"/>
        <scheme val="minor"/>
      </rPr>
      <t>, Short-Term (ppm)</t>
    </r>
  </si>
  <si>
    <r>
      <t>C</t>
    </r>
    <r>
      <rPr>
        <b/>
        <vertAlign val="subscript"/>
        <sz val="10"/>
        <rFont val="Calibri"/>
        <family val="2"/>
        <scheme val="minor"/>
      </rPr>
      <t>tDCE,</t>
    </r>
    <r>
      <rPr>
        <b/>
        <sz val="10"/>
        <rFont val="Calibri"/>
        <family val="2"/>
        <scheme val="minor"/>
      </rPr>
      <t xml:space="preserve"> 8-hr TWA (ppm)</t>
    </r>
  </si>
  <si>
    <r>
      <t>AC</t>
    </r>
    <r>
      <rPr>
        <b/>
        <vertAlign val="subscript"/>
        <sz val="10"/>
        <rFont val="Calibri"/>
        <family val="2"/>
        <scheme val="minor"/>
      </rPr>
      <t>tDCE</t>
    </r>
    <r>
      <rPr>
        <b/>
        <sz val="10"/>
        <rFont val="Calibri"/>
        <family val="2"/>
        <scheme val="minor"/>
      </rPr>
      <t>, 24-hr TWA (ppm)</t>
    </r>
  </si>
  <si>
    <r>
      <t>ADC</t>
    </r>
    <r>
      <rPr>
        <b/>
        <vertAlign val="subscript"/>
        <sz val="10"/>
        <rFont val="Calibri"/>
        <family val="2"/>
        <scheme val="minor"/>
      </rPr>
      <t>tDCE</t>
    </r>
    <r>
      <rPr>
        <b/>
        <sz val="10"/>
        <rFont val="Calibri"/>
        <family val="2"/>
        <scheme val="minor"/>
      </rPr>
      <t>, 24-hr TWA (ppm)</t>
    </r>
  </si>
  <si>
    <r>
      <t>LADC</t>
    </r>
    <r>
      <rPr>
        <b/>
        <vertAlign val="subscript"/>
        <sz val="10"/>
        <rFont val="Calibri"/>
        <family val="2"/>
        <scheme val="minor"/>
      </rPr>
      <t>tDCE</t>
    </r>
    <r>
      <rPr>
        <b/>
        <sz val="10"/>
        <rFont val="Calibri"/>
        <family val="2"/>
        <scheme val="minor"/>
      </rPr>
      <t>, 24-hr TWA (ppm)</t>
    </r>
  </si>
  <si>
    <t>Risk Estimation for Inhalation Exposures</t>
  </si>
  <si>
    <t>Risk Estimation for Dermal Exposures</t>
  </si>
  <si>
    <t>Risk Type</t>
  </si>
  <si>
    <t>Toxicity Endpoint</t>
  </si>
  <si>
    <t>Study</t>
  </si>
  <si>
    <t>No Respirator</t>
  </si>
  <si>
    <t>APF = 10</t>
  </si>
  <si>
    <t>APF = 25</t>
  </si>
  <si>
    <t>APF = 50</t>
  </si>
  <si>
    <t>APF = 1,000</t>
  </si>
  <si>
    <t>APF = 10,000</t>
  </si>
  <si>
    <t>No Gloves</t>
  </si>
  <si>
    <t>PF = 5</t>
  </si>
  <si>
    <t>PF = 10</t>
  </si>
  <si>
    <t>PF = 20</t>
  </si>
  <si>
    <t>Acute, Short-Term Non-Cancer</t>
  </si>
  <si>
    <t>Acute, 8-hr Non-Cancer</t>
  </si>
  <si>
    <t>Intermediate, Non-Cancer</t>
  </si>
  <si>
    <t>Chronic, Non-Cancer</t>
  </si>
  <si>
    <t>Look-up Values and Risk Parameter Values</t>
  </si>
  <si>
    <t>Based on acute, intermediate, and chronic health data provided on 1/16/2026</t>
  </si>
  <si>
    <t>IUR per ppm = IUR per ug/m3 x 1000 x MW/24.45</t>
  </si>
  <si>
    <t>Acute and Chronic, Non-Cancer Parameters</t>
  </si>
  <si>
    <t>Look-up Table Values</t>
  </si>
  <si>
    <t>Code</t>
  </si>
  <si>
    <t>Uncertainty Factors (UFs) for Benchmark MOE</t>
  </si>
  <si>
    <t>Exposure Percentiles</t>
  </si>
  <si>
    <t>Target Cancer Risk Level</t>
  </si>
  <si>
    <t>Acute, Non-Cancer</t>
  </si>
  <si>
    <t>Sensory irritation</t>
  </si>
  <si>
    <t>Hurtt et.al. 1993 (1741343, High)</t>
  </si>
  <si>
    <t>Intermediate</t>
  </si>
  <si>
    <t>Reduced Immune Function</t>
  </si>
  <si>
    <t>Shopp et al. 1985 (5435222, High)</t>
  </si>
  <si>
    <t>HEC conversion factor</t>
  </si>
  <si>
    <t>HED (mg/kg-d)</t>
  </si>
  <si>
    <t>ppm per mg/m3</t>
  </si>
  <si>
    <t>None</t>
  </si>
  <si>
    <t>tDCE MW</t>
  </si>
  <si>
    <t>g/mol</t>
  </si>
  <si>
    <t>Molar Volume</t>
  </si>
  <si>
    <t>L/mol</t>
  </si>
  <si>
    <t>HED (ppm)</t>
  </si>
  <si>
    <t>MOE</t>
  </si>
  <si>
    <t>Calculated Central Tendency Doses</t>
  </si>
  <si>
    <t>Calculated High-End Doses</t>
  </si>
  <si>
    <t>Risk Estimates (no PPE)</t>
  </si>
  <si>
    <t>Acute, Non-cancer MOE</t>
  </si>
  <si>
    <t>Intermediate Non-cancer (MOE)</t>
  </si>
  <si>
    <t>Chronic Non-cancer (MOE)</t>
  </si>
  <si>
    <t>Lookup Name</t>
  </si>
  <si>
    <r>
      <t>LCRD</t>
    </r>
    <r>
      <rPr>
        <b/>
        <vertAlign val="subscript"/>
        <sz val="11"/>
        <rFont val="Calibri"/>
        <family val="2"/>
        <scheme val="minor"/>
      </rPr>
      <t>tDCE</t>
    </r>
    <r>
      <rPr>
        <b/>
        <sz val="11"/>
        <rFont val="Calibri"/>
        <family val="2"/>
        <scheme val="minor"/>
      </rPr>
      <t xml:space="preserve"> (mg/kg-day)</t>
    </r>
  </si>
  <si>
    <t>Manufacturing</t>
  </si>
  <si>
    <t>Manufacturing as a byproduct</t>
  </si>
  <si>
    <t>Repackaging</t>
  </si>
  <si>
    <t>Processing as a Reactant</t>
  </si>
  <si>
    <t>Processing into Formulation, Mixture, or Reaction Product</t>
  </si>
  <si>
    <t>App of Adhesives &amp; Sealants</t>
  </si>
  <si>
    <t>App of Paints &amp; Coatings</t>
  </si>
  <si>
    <t>Commercial Aerosol Products</t>
  </si>
  <si>
    <t>Vapor Degreasing</t>
  </si>
  <si>
    <t>Misc Non-Aerosol Use</t>
  </si>
  <si>
    <t>Laboratory Use</t>
  </si>
  <si>
    <t xml:space="preserve">Waste Handling, Treatment, and Disposal </t>
  </si>
  <si>
    <t>Average Adult Worker</t>
  </si>
  <si>
    <t>Exposure Scenario</t>
  </si>
  <si>
    <t>Exposure Frequency</t>
  </si>
  <si>
    <t>Eight Hour TWA Exposures</t>
  </si>
  <si>
    <t>Datapoints</t>
  </si>
  <si>
    <t># of ND</t>
  </si>
  <si>
    <t>Sources &amp; Notes</t>
  </si>
  <si>
    <t>Data Type</t>
  </si>
  <si>
    <t>(day/yr)</t>
  </si>
  <si>
    <r>
      <t>C</t>
    </r>
    <r>
      <rPr>
        <b/>
        <vertAlign val="subscript"/>
        <sz val="10"/>
        <rFont val="Calibri"/>
        <family val="2"/>
        <scheme val="minor"/>
      </rPr>
      <t>8-hr TWA</t>
    </r>
    <r>
      <rPr>
        <b/>
        <sz val="10"/>
        <rFont val="Calibri"/>
        <family val="2"/>
        <scheme val="minor"/>
      </rPr>
      <t xml:space="preserve"> (ppm)</t>
    </r>
  </si>
  <si>
    <r>
      <t>AC</t>
    </r>
    <r>
      <rPr>
        <b/>
        <vertAlign val="subscript"/>
        <sz val="10"/>
        <rFont val="Calibri"/>
        <family val="2"/>
        <scheme val="minor"/>
      </rPr>
      <t>24-hr TWA</t>
    </r>
    <r>
      <rPr>
        <b/>
        <sz val="10"/>
        <rFont val="Calibri"/>
        <family val="2"/>
        <scheme val="minor"/>
      </rPr>
      <t xml:space="preserve"> (ppm)</t>
    </r>
  </si>
  <si>
    <r>
      <t>ADC</t>
    </r>
    <r>
      <rPr>
        <b/>
        <vertAlign val="subscript"/>
        <sz val="10"/>
        <rFont val="Calibri"/>
        <family val="2"/>
        <scheme val="minor"/>
      </rPr>
      <t>24-hr TWA</t>
    </r>
    <r>
      <rPr>
        <b/>
        <sz val="10"/>
        <rFont val="Calibri"/>
        <family val="2"/>
        <scheme val="minor"/>
      </rPr>
      <t xml:space="preserve"> (ppm)</t>
    </r>
  </si>
  <si>
    <r>
      <t>LADC</t>
    </r>
    <r>
      <rPr>
        <b/>
        <vertAlign val="subscript"/>
        <sz val="10"/>
        <rFont val="Calibri"/>
        <family val="2"/>
        <scheme val="minor"/>
      </rPr>
      <t>24-hr TWA</t>
    </r>
    <r>
      <rPr>
        <b/>
        <sz val="10"/>
        <rFont val="Calibri"/>
        <family val="2"/>
        <scheme val="minor"/>
      </rPr>
      <t xml:space="preserve"> (ppm)</t>
    </r>
  </si>
  <si>
    <t>Acute 8-hr Non-cancer MOE</t>
  </si>
  <si>
    <t>Intermediate Non-cancer MOE</t>
  </si>
  <si>
    <t>Chronic Non-cancer MOE</t>
  </si>
  <si>
    <t>Manufacturing (Outside Lead Operator/B-Operator –Batch Manufacturing)</t>
  </si>
  <si>
    <t>8-hr TWA</t>
  </si>
  <si>
    <t>Test Order Monitoring Data (Primary)</t>
  </si>
  <si>
    <t>Manufacturing (Operator – Distillation Operation)</t>
  </si>
  <si>
    <t>Manufacturing (Shipping/Warehouse Worker – Batch Manufacturing)</t>
  </si>
  <si>
    <t>Manufacturing (Laboratory Technician – Batch Manufacturing)</t>
  </si>
  <si>
    <t>Manufacturing (Overall Worker, combined data)</t>
  </si>
  <si>
    <t>Test Order Monitoring Data (Analogous Data from Processing into Formulation)</t>
  </si>
  <si>
    <t>Assumed CT of worker exposure for Drum Filler and Packaging Operator</t>
  </si>
  <si>
    <t>Test Order Monitoring Data (Analogous Data from Manufacturing)</t>
  </si>
  <si>
    <t>Surrogate Data - DCM with VP correction</t>
  </si>
  <si>
    <t>Assumed CT of worker exposure</t>
  </si>
  <si>
    <t>App of Adhesives &amp; Sealants (Spray Coating)</t>
  </si>
  <si>
    <t>Surrogate Data - DCM and 1-BP with VP correction</t>
  </si>
  <si>
    <t>App of Adhesives &amp; Sealants (Non-Spray Coating)</t>
  </si>
  <si>
    <t>App of Adhesives &amp; Sealants (Unknown Application Method)</t>
  </si>
  <si>
    <t>App of Paints &amp; Coatings (Spray Application)</t>
  </si>
  <si>
    <t>App of Paints &amp; Coatings (Unknown Application Method)</t>
  </si>
  <si>
    <t>Use Non-Aerosol Cleaning &amp; Degreasing as analagous</t>
  </si>
  <si>
    <t>Test Order Monitoring Data (Analogous from Manufacturing and Proc into Formulation)</t>
  </si>
  <si>
    <t>Area Monitoring Data - assumed grab samples are continuous concentration</t>
  </si>
  <si>
    <t>Surrogate Data - 1,2-DCA with VP correction</t>
  </si>
  <si>
    <t>Short-Term Exposures</t>
  </si>
  <si>
    <t>Min Sample Length</t>
  </si>
  <si>
    <t>Max Sample Length</t>
  </si>
  <si>
    <r>
      <t>C</t>
    </r>
    <r>
      <rPr>
        <b/>
        <vertAlign val="subscript"/>
        <sz val="10"/>
        <rFont val="Calibri"/>
        <family val="2"/>
        <scheme val="minor"/>
      </rPr>
      <t>15-min Short-Term</t>
    </r>
    <r>
      <rPr>
        <b/>
        <sz val="10"/>
        <rFont val="Calibri"/>
        <family val="2"/>
        <scheme val="minor"/>
      </rPr>
      <t xml:space="preserve"> (ppm)</t>
    </r>
  </si>
  <si>
    <t xml:space="preserve">Acute Short-Term Non-cancer </t>
  </si>
  <si>
    <t>Short-Term</t>
  </si>
  <si>
    <t>Processing into Formulation, Mixture, or Reaction Product (Packaging Operator)</t>
  </si>
  <si>
    <t>tDCE data from 3M (2019)</t>
  </si>
  <si>
    <t>tDCE Test Order Data</t>
  </si>
  <si>
    <t>tDCE data from 3M (PBZ)</t>
  </si>
  <si>
    <t>Vapor Degreasing (Area)</t>
  </si>
  <si>
    <t>tDCE data from 3M (area)</t>
  </si>
  <si>
    <t>Detailed OES</t>
  </si>
  <si>
    <t>Exposure Data Types</t>
  </si>
  <si>
    <t>Dermal Exposure Scenario</t>
  </si>
  <si>
    <t>Monitoring Data</t>
  </si>
  <si>
    <t>Modeled Data</t>
  </si>
  <si>
    <t>Worker Type</t>
  </si>
  <si>
    <t>BMDL Percentile</t>
  </si>
  <si>
    <t>tDCE</t>
  </si>
  <si>
    <t>Assigned Protection Factor</t>
  </si>
  <si>
    <t>MW</t>
  </si>
  <si>
    <t>OSHA PEL</t>
  </si>
  <si>
    <t>ppm</t>
  </si>
  <si>
    <r>
      <t>mg/m</t>
    </r>
    <r>
      <rPr>
        <vertAlign val="superscript"/>
        <sz val="10"/>
        <rFont val="Calibri"/>
        <family val="2"/>
      </rPr>
      <t>3</t>
    </r>
  </si>
  <si>
    <t>Unit Conversions</t>
  </si>
  <si>
    <t>Micrograms to milligrams</t>
  </si>
  <si>
    <r>
      <rPr>
        <sz val="10"/>
        <rFont val="Calibri"/>
        <family val="2"/>
      </rPr>
      <t>μ</t>
    </r>
    <r>
      <rPr>
        <sz val="10"/>
        <rFont val="Arial"/>
        <family val="2"/>
      </rPr>
      <t>g/mg</t>
    </r>
  </si>
  <si>
    <t>Parameter Name</t>
  </si>
  <si>
    <t>Symbol</t>
  </si>
  <si>
    <t>Value</t>
  </si>
  <si>
    <t>Unit</t>
  </si>
  <si>
    <t>Occupational Exposure Duration (8-hr)</t>
  </si>
  <si>
    <t>ED_8</t>
  </si>
  <si>
    <t xml:space="preserve">hr/day </t>
  </si>
  <si>
    <t>Continuous Exposure Duration (24-hr)</t>
  </si>
  <si>
    <t>ED_24</t>
  </si>
  <si>
    <t xml:space="preserve">Occupational Exposure Frequency </t>
  </si>
  <si>
    <t>EF</t>
  </si>
  <si>
    <t xml:space="preserve">day/yr </t>
  </si>
  <si>
    <t>Continuous Exposure Frequency</t>
  </si>
  <si>
    <t>EF_C</t>
  </si>
  <si>
    <t>Working Years Per Lifetime (Mid)</t>
  </si>
  <si>
    <t>WY_mid</t>
  </si>
  <si>
    <t xml:space="preserve">yr </t>
  </si>
  <si>
    <t>Working Years Per Lifetime (High)</t>
  </si>
  <si>
    <t>WY_high</t>
  </si>
  <si>
    <t>Lifetime Years for LADC</t>
  </si>
  <si>
    <t>LT</t>
  </si>
  <si>
    <t>Averaging time For ADC (Mid), non-cancer occupational</t>
  </si>
  <si>
    <t>AT_ADC_mid</t>
  </si>
  <si>
    <t xml:space="preserve">hr </t>
  </si>
  <si>
    <t>Averaging time For ADC (High), non-cancer occupational</t>
  </si>
  <si>
    <t>AT_ADC_high</t>
  </si>
  <si>
    <t>Averaging time For LADC, cancer occupational</t>
  </si>
  <si>
    <t>AT_LADC</t>
  </si>
  <si>
    <t>Averaging time for CRD (Mid), non-cancer continuous</t>
  </si>
  <si>
    <t>AT_CRD_mid</t>
  </si>
  <si>
    <t>day</t>
  </si>
  <si>
    <t>Averaging time for CRD (High), non-cancer continuous</t>
  </si>
  <si>
    <t>AT_CRD_high</t>
  </si>
  <si>
    <t>Averaging time for LCRD, cancer continuous</t>
  </si>
  <si>
    <t>AT_LCRD</t>
  </si>
  <si>
    <t>Breathing Ratio</t>
  </si>
  <si>
    <t>Breathing_Ratio</t>
  </si>
  <si>
    <t>Averaging time For ADC Intermediate, non-cancer occupational</t>
  </si>
  <si>
    <t>AT_ADC_I</t>
  </si>
  <si>
    <t>Exposure Days - Intermediate</t>
  </si>
  <si>
    <t>EF_I</t>
  </si>
  <si>
    <t>Acute Averaging Time</t>
  </si>
  <si>
    <t>AT_AC</t>
  </si>
  <si>
    <t>Exposure Factors</t>
  </si>
  <si>
    <t>Woman of Childbearing Age</t>
  </si>
  <si>
    <t>Characterization of Value</t>
  </si>
  <si>
    <t>Body Weight, BW (kg)</t>
  </si>
  <si>
    <r>
      <t>1 Hand Surface Area (cm</t>
    </r>
    <r>
      <rPr>
        <b/>
        <vertAlign val="superscript"/>
        <sz val="11"/>
        <color theme="1"/>
        <rFont val="Calibri"/>
        <family val="2"/>
        <scheme val="minor"/>
      </rPr>
      <t>2</t>
    </r>
    <r>
      <rPr>
        <b/>
        <sz val="11"/>
        <color theme="1"/>
        <rFont val="Calibri"/>
        <family val="2"/>
        <scheme val="minor"/>
      </rPr>
      <t>)</t>
    </r>
  </si>
  <si>
    <r>
      <t>2 Hand Surface Area (cm</t>
    </r>
    <r>
      <rPr>
        <b/>
        <vertAlign val="superscript"/>
        <sz val="11"/>
        <color theme="1"/>
        <rFont val="Calibri"/>
        <family val="2"/>
        <scheme val="minor"/>
      </rPr>
      <t>2</t>
    </r>
    <r>
      <rPr>
        <b/>
        <sz val="11"/>
        <color theme="1"/>
        <rFont val="Calibri"/>
        <family val="2"/>
        <scheme val="minor"/>
      </rPr>
      <t>)</t>
    </r>
  </si>
  <si>
    <t>Working Years - High-End (yr)</t>
  </si>
  <si>
    <t>Working Years - Central Tendency (yr)</t>
  </si>
  <si>
    <t>Lifetime</t>
  </si>
  <si>
    <t>Woman of Childbearing Age Exposure Factors:</t>
  </si>
  <si>
    <t>Body Weight:</t>
  </si>
  <si>
    <t>From the Exposure Factors Handbook Table 8-5: Mean and Percentile Body Weights (kg) for Females Derived from NHANES (1990-2006) (1)</t>
  </si>
  <si>
    <t>Age 16 to &lt;21 years: 65.9 kg (mean)</t>
  </si>
  <si>
    <t>Age 21 to &lt;30 years: 71.9 kg (mean)</t>
  </si>
  <si>
    <t>Age 30 to &lt;40 years: 74.8 kg (mean)</t>
  </si>
  <si>
    <t>Age 40 to &lt;50 years: 77.1 kg (mean)</t>
  </si>
  <si>
    <t>(1) U.S. Environmental Protection Agency (EPA). (2011) Exposure Factors Handbook: 2011 Edition. National Center for Environmental Assessment, Washington, DC; EPA/600/R-09/052F. Available from the National Technical Information Service, Springfield, VA, and online at http://www.epa.gov/ncea/efh.</t>
  </si>
  <si>
    <t>Absorbed Dose Rate</t>
  </si>
  <si>
    <t>Acute Absorbed Dose</t>
  </si>
  <si>
    <t>Intermediate Absorbed Dose, Non-Cancer</t>
  </si>
  <si>
    <t>Chronic Absorbed Dose, Non-Cancer</t>
  </si>
  <si>
    <t>Chronic Absorbed Dose, Cancer</t>
  </si>
  <si>
    <r>
      <t>AAD</t>
    </r>
    <r>
      <rPr>
        <b/>
        <vertAlign val="subscript"/>
        <sz val="11"/>
        <rFont val="Calibri"/>
        <family val="2"/>
        <scheme val="minor"/>
      </rPr>
      <t>tDCE</t>
    </r>
    <r>
      <rPr>
        <b/>
        <sz val="11"/>
        <rFont val="Calibri"/>
        <family val="2"/>
        <scheme val="minor"/>
      </rPr>
      <t xml:space="preserve"> (mg/kg-day)</t>
    </r>
  </si>
  <si>
    <r>
      <t>AADR</t>
    </r>
    <r>
      <rPr>
        <b/>
        <vertAlign val="subscript"/>
        <sz val="11"/>
        <color theme="1"/>
        <rFont val="Calibri"/>
        <family val="2"/>
        <scheme val="minor"/>
      </rPr>
      <t>exp</t>
    </r>
    <r>
      <rPr>
        <b/>
        <sz val="11"/>
        <color theme="1"/>
        <rFont val="Calibri"/>
        <family val="2"/>
        <scheme val="minor"/>
      </rPr>
      <t xml:space="preserve"> (mg/day)</t>
    </r>
  </si>
  <si>
    <r>
      <t>IAD</t>
    </r>
    <r>
      <rPr>
        <b/>
        <vertAlign val="subscript"/>
        <sz val="11"/>
        <rFont val="Calibri"/>
        <family val="2"/>
        <scheme val="minor"/>
      </rPr>
      <t>tDCE</t>
    </r>
    <r>
      <rPr>
        <b/>
        <sz val="11"/>
        <rFont val="Calibri"/>
        <family val="2"/>
        <scheme val="minor"/>
      </rPr>
      <t xml:space="preserve"> (mg/kg-day)</t>
    </r>
  </si>
  <si>
    <r>
      <t>CAD</t>
    </r>
    <r>
      <rPr>
        <b/>
        <vertAlign val="subscript"/>
        <sz val="11"/>
        <rFont val="Calibri"/>
        <family val="2"/>
        <scheme val="minor"/>
      </rPr>
      <t>tDCE</t>
    </r>
    <r>
      <rPr>
        <b/>
        <sz val="11"/>
        <rFont val="Calibri"/>
        <family val="2"/>
        <scheme val="minor"/>
      </rPr>
      <t xml:space="preserve"> (mg/kg-day)</t>
    </r>
  </si>
  <si>
    <t>Acute Absorbed Dose Rate (ADR) (mg/day)</t>
  </si>
  <si>
    <t>Acute Absorbed Dose (AAD)(mg/kg-day)</t>
  </si>
  <si>
    <t xml:space="preserve">Intermediate Absorbed Dose (IAD), Non-Cancer (mg/kg-day) </t>
  </si>
  <si>
    <t xml:space="preserve">Chronic Absorbed Dose (CAD), Non-Cancer (mg/kg-day) </t>
  </si>
  <si>
    <t xml:space="preserve">Chronic Absorbed Dose (CAD), Cancer (mg/kg-day) </t>
  </si>
  <si>
    <r>
      <t>- SA = Surface area of dermal exposure (0 cm</t>
    </r>
    <r>
      <rPr>
        <vertAlign val="superscript"/>
        <sz val="10"/>
        <color theme="1"/>
        <rFont val="Calibri"/>
        <family val="2"/>
        <scheme val="minor"/>
      </rPr>
      <t xml:space="preserve">2 </t>
    </r>
    <r>
      <rPr>
        <sz val="10"/>
        <color theme="1"/>
        <rFont val="Calibri"/>
        <family val="2"/>
        <scheme val="minor"/>
      </rPr>
      <t>for no hands and 1,070 cm</t>
    </r>
    <r>
      <rPr>
        <vertAlign val="superscript"/>
        <sz val="10"/>
        <color theme="1"/>
        <rFont val="Calibri"/>
        <family val="2"/>
        <scheme val="minor"/>
      </rPr>
      <t>2</t>
    </r>
    <r>
      <rPr>
        <sz val="10"/>
        <color theme="1"/>
        <rFont val="Calibri"/>
        <family val="2"/>
        <scheme val="minor"/>
      </rPr>
      <t xml:space="preserve"> for 2-hand exposure)
- Qu = Quantity remaining on Skin: 1.4 (central tendency) to 2.1 (high end) mg/cm</t>
    </r>
    <r>
      <rPr>
        <vertAlign val="superscript"/>
        <sz val="10"/>
        <color theme="1"/>
        <rFont val="Calibri"/>
        <family val="2"/>
        <scheme val="minor"/>
      </rPr>
      <t>2</t>
    </r>
    <r>
      <rPr>
        <sz val="10"/>
        <color theme="1"/>
        <rFont val="Calibri"/>
        <family val="2"/>
        <scheme val="minor"/>
      </rPr>
      <t>-event
- Fabs = Fraction absorbed into skin
- Yderm = Concentration of chemical of interest
- FT = Exposure frequency : 1 event/day</t>
    </r>
  </si>
  <si>
    <t>AADR / BW</t>
  </si>
  <si>
    <t>AAD x EF_I x WY / AT</t>
  </si>
  <si>
    <t>AAD x EF x WY / AT</t>
  </si>
  <si>
    <r>
      <t>AADR</t>
    </r>
    <r>
      <rPr>
        <b/>
        <vertAlign val="subscript"/>
        <sz val="10"/>
        <color theme="1"/>
        <rFont val="Calibri"/>
        <family val="2"/>
        <scheme val="minor"/>
      </rPr>
      <t>exp</t>
    </r>
    <r>
      <rPr>
        <b/>
        <sz val="10"/>
        <color theme="1"/>
        <rFont val="Calibri"/>
        <family val="2"/>
        <scheme val="minor"/>
      </rPr>
      <t xml:space="preserve"> (mg/day)</t>
    </r>
  </si>
  <si>
    <r>
      <t>IAD</t>
    </r>
    <r>
      <rPr>
        <b/>
        <vertAlign val="subscript"/>
        <sz val="10"/>
        <rFont val="Calibri"/>
        <family val="2"/>
        <scheme val="minor"/>
      </rPr>
      <t>tDCE</t>
    </r>
    <r>
      <rPr>
        <b/>
        <sz val="10"/>
        <rFont val="Calibri"/>
        <family val="2"/>
        <scheme val="minor"/>
      </rPr>
      <t xml:space="preserve"> (mg/kg-day)</t>
    </r>
  </si>
  <si>
    <r>
      <t>AAD</t>
    </r>
    <r>
      <rPr>
        <b/>
        <vertAlign val="subscript"/>
        <sz val="10"/>
        <rFont val="Calibri"/>
        <family val="2"/>
        <scheme val="minor"/>
      </rPr>
      <t>tDCE</t>
    </r>
    <r>
      <rPr>
        <b/>
        <sz val="10"/>
        <rFont val="Calibri"/>
        <family val="2"/>
        <scheme val="minor"/>
      </rPr>
      <t xml:space="preserve"> (mg/kg-day)</t>
    </r>
  </si>
  <si>
    <r>
      <t>CAD</t>
    </r>
    <r>
      <rPr>
        <b/>
        <vertAlign val="subscript"/>
        <sz val="10"/>
        <rFont val="Calibri"/>
        <family val="2"/>
        <scheme val="minor"/>
      </rPr>
      <t>tDCE</t>
    </r>
    <r>
      <rPr>
        <b/>
        <sz val="10"/>
        <rFont val="Calibri"/>
        <family val="2"/>
        <scheme val="minor"/>
      </rPr>
      <t xml:space="preserve"> (mg/kg-day)</t>
    </r>
  </si>
  <si>
    <t>PBZ Monitoring Data</t>
  </si>
  <si>
    <t>Area Monitoring Data</t>
  </si>
  <si>
    <t>Waste Handling, Treatment, and Disposal (POTW &amp; non-POTW WWT)</t>
  </si>
  <si>
    <t>Waste Handling, Treatment, and Disposal (Combined)</t>
  </si>
  <si>
    <t>Manufacturing (ONU)</t>
  </si>
  <si>
    <t>Manufacturing as a Byproduct (ONU)</t>
  </si>
  <si>
    <t>Repackaging (ONU)</t>
  </si>
  <si>
    <t>3c</t>
  </si>
  <si>
    <t>Processing as a Reactant (ONU)</t>
  </si>
  <si>
    <t>5.1a</t>
  </si>
  <si>
    <t>5.1b</t>
  </si>
  <si>
    <t>5.1c</t>
  </si>
  <si>
    <t>5.2a</t>
  </si>
  <si>
    <t>5.2b</t>
  </si>
  <si>
    <t>5.2c</t>
  </si>
  <si>
    <t>Processing into Formulation, Mixture, or Reaction Product (Technician ‐ Aerosol Packaging (Microcare))</t>
  </si>
  <si>
    <t>Processing into Formulation, Mixture, or Reaction Product (Technician ‐ Blending (Microcare))</t>
  </si>
  <si>
    <t>Processing into Formulation, Mixture, or Reaction Product (ONU (Microcare))</t>
  </si>
  <si>
    <t>5.3a</t>
  </si>
  <si>
    <t>5.3b</t>
  </si>
  <si>
    <t>Processing into Formulation, Mixture, or Reaction Product (Production Technician (BASF))</t>
  </si>
  <si>
    <t>Processing into Formulation, Mixture, or Reaction Product (ONU (BASF))</t>
  </si>
  <si>
    <t>Processing into Formulation, Mixture, or Reaction Product (Batch maker (Huntsman))</t>
  </si>
  <si>
    <t>Processing into Formulation, Mixture, or Reaction Product (Drum filler (Huntsman))</t>
  </si>
  <si>
    <t>Processing into Formulation, Mixture, or Reaction Product (ONU (Huntsman))</t>
  </si>
  <si>
    <t>5.4a</t>
  </si>
  <si>
    <t>5.4b</t>
  </si>
  <si>
    <t>5.4c</t>
  </si>
  <si>
    <t>5.5a</t>
  </si>
  <si>
    <t>5.5b</t>
  </si>
  <si>
    <t>5.5c</t>
  </si>
  <si>
    <t>5.5d</t>
  </si>
  <si>
    <t>5.5e</t>
  </si>
  <si>
    <t>5.5f</t>
  </si>
  <si>
    <t>Processing into Formulation, Mixture, or Reaction Product (Coat &amp; Wash Operations Tech (Versum))</t>
  </si>
  <si>
    <t>Processing into Formulation, Mixture, or Reaction Product (Distillation Operation Tech (Versum))</t>
  </si>
  <si>
    <t>Processing into Formulation, Mixture, or Reaction Product (Packaging Operator - Bubbler packaging (Versum))</t>
  </si>
  <si>
    <t>Processing into Formulation, Mixture, or Reaction Product (QC Technician (Versum))</t>
  </si>
  <si>
    <t>Processing into Formulation, Mixture, or Reaction Product (RGA Operations Tech (Versum))</t>
  </si>
  <si>
    <t>Processing into Formulation, Mixture, or Reaction Product (ONU (Versum))</t>
  </si>
  <si>
    <t>6.1a</t>
  </si>
  <si>
    <t>6.1b</t>
  </si>
  <si>
    <t>6.2a</t>
  </si>
  <si>
    <t>6.2b</t>
  </si>
  <si>
    <t>Vapor Degreasing (ONU (Boeing 1))</t>
  </si>
  <si>
    <t>Vapor Degreasing (Technician/Process Mechanic Operating Degreaser (Boeing 1))</t>
  </si>
  <si>
    <t>Processing into Formulation, Mixture, or Reaction Product (ONU (3M 1))</t>
  </si>
  <si>
    <t>Processing into Formulation, Mixture, or Reaction Product (Process Operator (3M 1))</t>
  </si>
  <si>
    <t>Processing into Formulation, Mixture, or Reaction Product (Packaging Operator - Container packaging (3M 1))</t>
  </si>
  <si>
    <t>Vapor Degreasing (Assembler Operating Ultrasonic Machine (3M 2))</t>
  </si>
  <si>
    <t>Vapor Degreasing (Waste Handling/Maintenance Worker (3M 2))</t>
  </si>
  <si>
    <t>Vapor Degreasing (ONU (3M 2))</t>
  </si>
  <si>
    <t>7d</t>
  </si>
  <si>
    <t>7e</t>
  </si>
  <si>
    <t>Misc Non-Aerosol Use (Aircraft Technician Performing Cleaning Task (Boeing 2))</t>
  </si>
  <si>
    <t>Misc Non-Aerosol Use (Technician - tube dipping, edge cutting and buffing (3M 3))</t>
  </si>
  <si>
    <t>Misc Non-Aerosol Use (Technician - slitter knife cleaning (3M 5))</t>
  </si>
  <si>
    <t>Misc Non-Aerosol Use (Combined)</t>
  </si>
  <si>
    <t>Misc Non-Aerosol Use (ONU)</t>
  </si>
  <si>
    <t>8c</t>
  </si>
  <si>
    <t>Commercial Aerosol Products (Technician (Boeing 1))</t>
  </si>
  <si>
    <t>Commercial Aerosol Products (Mechanic (Boeing 3))</t>
  </si>
  <si>
    <t>Commercial Aerosol Products (ONU)</t>
  </si>
  <si>
    <t>App of Paints &amp; Coatings (ONU)</t>
  </si>
  <si>
    <t>App of Adhesives &amp; Sealants (ONU)</t>
  </si>
  <si>
    <t>3d</t>
  </si>
  <si>
    <t>Repackaging (DCM - Drum Filler)</t>
  </si>
  <si>
    <t>Processing as a Reactant (DCM - Reactant)</t>
  </si>
  <si>
    <t>Solvents (for semiconductor manufacturing)</t>
  </si>
  <si>
    <t>Solvents (which become part of product formulation or mixture), Carrier solvent in adhesives, coatings, lubricants, and silicones</t>
  </si>
  <si>
    <t>Vapor Degreasing (All)</t>
  </si>
  <si>
    <t>Misc Non-Aerosol Use (All)</t>
  </si>
  <si>
    <t>Industrial / commercial use - Non Aerosol</t>
  </si>
  <si>
    <t>Non-aerosol - Mold release, Liquid lubricants and greases; penetrating lubricants and fluids, and cutting oil; Specialized detection indicator paints (temperature, ammonia, hydrocarbons, etc.)</t>
  </si>
  <si>
    <t>All solvents</t>
  </si>
  <si>
    <t>All non-aerosol products</t>
  </si>
  <si>
    <t>12a</t>
  </si>
  <si>
    <t>12b</t>
  </si>
  <si>
    <t>13a</t>
  </si>
  <si>
    <t>13b</t>
  </si>
  <si>
    <t>Waste Handling, Treatment, and Disposal (ONU)</t>
  </si>
  <si>
    <t>8d</t>
  </si>
  <si>
    <t>7f</t>
  </si>
  <si>
    <t>Misc Non-Aerosol Use (Flight Mechanics Performing Flush Cleaning (Boeing ?))</t>
  </si>
  <si>
    <t>Commercial Aerosol Product (Other Data)</t>
  </si>
  <si>
    <t>Vapor Degreasing (Other Data)</t>
  </si>
  <si>
    <t>Application of Adhesives and Sealants (Spray Coating)</t>
  </si>
  <si>
    <t>Application of Adhesives and Sealants (Non-Spray Coating)</t>
  </si>
  <si>
    <t>Application of Adhesives and Sealants (ONU)</t>
  </si>
  <si>
    <t>Processing into Formulation, Mixture, or Reaction Product (ONU (3M 1, Microcare, BASF, Huntsman))</t>
  </si>
  <si>
    <t>5.6a</t>
  </si>
  <si>
    <t>6.3a</t>
  </si>
  <si>
    <t>Vapor Degreasing (ONU)</t>
  </si>
  <si>
    <t>8e</t>
  </si>
  <si>
    <t>Commercial Aerosol Products (Combined)</t>
  </si>
  <si>
    <t>Health Data, 
Dermal Exposure, 
Inhalation Exposure_8-hr, 
Inhalation Exposure_Short-Term,
List Values, and 
Exposure Factors</t>
  </si>
  <si>
    <t xml:space="preserve">The risk calculator for trans-1,2-dichloroethylene contains the following spreadsheets: 1) Calculation Summary, 2) Bridge Table, 3) Risk Reduction, 4) Health Data, 5) Dermal Exposure, 6) Inhalation Exposure_8-hr, 7) Inhalation Exposure_Short-Term, 8) List Values, and 19) Exposure Factors. The workbook is designed so that the user need only use/change the input cells in three spreadsheets, the Dashboard, the Bridge Table, and the Risk Reduction, which have tabs colored green and contain the results of the risk calculator. The remaining spreadsheets contain data storage and calculation spreadsheets. </t>
  </si>
  <si>
    <t>The Risk Reduction allows the user to select a COU. In the Risk Reduction spreadsheet, the user can also elect to see results for a worker or ONU separately. Additionally, the Heat Map displays all the PPE options. The Risk Reduction spreadsheet includes results without PPE and for each of the PPE options (i.e. APF or PF). The Risk Reduction spreadsheet has a row for each toxicity endpoint, and each row shows the cancer risk or MOE values. The RR spreadsheet shades results if the MOE is less than the benchmark MOE or the cancer risk is greater than the benchmark cancer risk.</t>
  </si>
  <si>
    <t>July 2026</t>
  </si>
  <si>
    <t>JULY 20206</t>
  </si>
  <si>
    <r>
      <t xml:space="preserve">Draft Occupational Risk Calculator for </t>
    </r>
    <r>
      <rPr>
        <b/>
        <i/>
        <sz val="18"/>
        <color rgb="FF000000"/>
        <rFont val="Times New Roman"/>
        <family val="1"/>
      </rPr>
      <t>trans</t>
    </r>
    <r>
      <rPr>
        <b/>
        <sz val="18"/>
        <color rgb="FF000000"/>
        <rFont val="Times New Roman"/>
        <family val="1"/>
      </rPr>
      <t xml:space="preserve">-1,2-Dichloroethylene </t>
    </r>
  </si>
  <si>
    <t>CASRN 156-60-5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</si>
</sst>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0.000"/>
    <numFmt numFmtId="166" formatCode="0.0E+00"/>
    <numFmt numFmtId="167" formatCode="0.0%"/>
    <numFmt numFmtId="168" formatCode="#,##0.0"/>
  </numFmts>
  <fonts count="56"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b/>
      <sz val="14"/>
      <color theme="1"/>
      <name val="Calibri"/>
      <family val="2"/>
      <scheme val="minor"/>
    </font>
    <font>
      <b/>
      <vertAlign val="superscript"/>
      <sz val="11"/>
      <color theme="1"/>
      <name val="Calibri"/>
      <family val="2"/>
      <scheme val="minor"/>
    </font>
    <font>
      <sz val="10"/>
      <color theme="1"/>
      <name val="Calibri"/>
      <family val="2"/>
      <scheme val="minor"/>
    </font>
    <font>
      <b/>
      <sz val="10"/>
      <color theme="1"/>
      <name val="Calibri"/>
      <family val="2"/>
      <scheme val="minor"/>
    </font>
    <font>
      <b/>
      <sz val="10"/>
      <name val="Calibri"/>
      <family val="2"/>
      <scheme val="minor"/>
    </font>
    <font>
      <b/>
      <vertAlign val="subscript"/>
      <sz val="10"/>
      <name val="Calibri"/>
      <family val="2"/>
      <scheme val="minor"/>
    </font>
    <font>
      <sz val="10"/>
      <name val="Calibri"/>
      <family val="2"/>
      <scheme val="minor"/>
    </font>
    <font>
      <b/>
      <vertAlign val="superscript"/>
      <sz val="10"/>
      <color theme="1"/>
      <name val="Calibri"/>
      <family val="2"/>
      <scheme val="minor"/>
    </font>
    <font>
      <b/>
      <vertAlign val="subscript"/>
      <sz val="10"/>
      <color theme="1"/>
      <name val="Calibri"/>
      <family val="2"/>
      <scheme val="minor"/>
    </font>
    <font>
      <sz val="11"/>
      <color rgb="FFFF0000"/>
      <name val="Calibri"/>
      <family val="2"/>
      <scheme val="minor"/>
    </font>
    <font>
      <u/>
      <sz val="11"/>
      <color theme="1"/>
      <name val="Calibri"/>
      <family val="2"/>
      <scheme val="minor"/>
    </font>
    <font>
      <sz val="11"/>
      <color theme="1"/>
      <name val="Calibri"/>
      <family val="2"/>
      <scheme val="minor"/>
    </font>
    <font>
      <i/>
      <sz val="11"/>
      <color theme="1"/>
      <name val="Calibri"/>
      <family val="2"/>
      <scheme val="minor"/>
    </font>
    <font>
      <b/>
      <sz val="11"/>
      <color rgb="FFFF0000"/>
      <name val="Calibri"/>
      <family val="2"/>
      <scheme val="minor"/>
    </font>
    <font>
      <b/>
      <sz val="10"/>
      <color rgb="FF000000"/>
      <name val="Calibri"/>
      <family val="2"/>
      <scheme val="minor"/>
    </font>
    <font>
      <b/>
      <i/>
      <sz val="10"/>
      <name val="Calibri"/>
      <family val="2"/>
      <scheme val="minor"/>
    </font>
    <font>
      <b/>
      <sz val="10"/>
      <color theme="8" tint="0.79998168889431442"/>
      <name val="Calibri"/>
      <family val="2"/>
      <scheme val="minor"/>
    </font>
    <font>
      <sz val="10"/>
      <color rgb="FFFF0000"/>
      <name val="Calibri"/>
      <family val="2"/>
      <scheme val="minor"/>
    </font>
    <font>
      <sz val="10"/>
      <color theme="0" tint="-4.9989318521683403E-2"/>
      <name val="Calibri"/>
      <family val="2"/>
      <scheme val="minor"/>
    </font>
    <font>
      <sz val="10"/>
      <name val="Arial"/>
      <family val="2"/>
    </font>
    <font>
      <sz val="10"/>
      <name val="Calibri"/>
      <family val="2"/>
    </font>
    <font>
      <vertAlign val="superscript"/>
      <sz val="10"/>
      <name val="Calibri"/>
      <family val="2"/>
    </font>
    <font>
      <b/>
      <sz val="12"/>
      <name val="Calibri"/>
      <family val="2"/>
    </font>
    <font>
      <b/>
      <vertAlign val="subscript"/>
      <sz val="11"/>
      <color theme="1"/>
      <name val="Calibri"/>
      <family val="2"/>
      <scheme val="minor"/>
    </font>
    <font>
      <b/>
      <sz val="10"/>
      <name val="Calibri"/>
      <family val="2"/>
    </font>
    <font>
      <sz val="8"/>
      <name val="Calibri"/>
      <family val="2"/>
      <scheme val="minor"/>
    </font>
    <font>
      <b/>
      <sz val="11"/>
      <color theme="1"/>
      <name val="Arial"/>
      <family val="2"/>
    </font>
    <font>
      <sz val="11"/>
      <color theme="1"/>
      <name val="Arial"/>
      <family val="2"/>
    </font>
    <font>
      <sz val="11"/>
      <name val="Arial"/>
      <family val="2"/>
    </font>
    <font>
      <b/>
      <sz val="11"/>
      <color rgb="FFFF0000"/>
      <name val="Arial"/>
      <family val="2"/>
    </font>
    <font>
      <b/>
      <sz val="11"/>
      <color theme="1"/>
      <name val="Times New Roman"/>
      <family val="1"/>
    </font>
    <font>
      <sz val="11"/>
      <color theme="1"/>
      <name val="Times New Roman"/>
      <family val="1"/>
    </font>
    <font>
      <b/>
      <sz val="12"/>
      <color theme="1"/>
      <name val="Times New Roman"/>
      <family val="1"/>
    </font>
    <font>
      <b/>
      <sz val="9.5"/>
      <color theme="1"/>
      <name val="Times New Roman"/>
      <family val="1"/>
    </font>
    <font>
      <b/>
      <sz val="9.5"/>
      <color rgb="FF000000"/>
      <name val="Times New Roman"/>
      <family val="1"/>
    </font>
    <font>
      <sz val="9.5"/>
      <color theme="1"/>
      <name val="Times New Roman"/>
      <family val="1"/>
    </font>
    <font>
      <sz val="10"/>
      <color theme="1"/>
      <name val="Times New Roman"/>
      <family val="1"/>
    </font>
    <font>
      <sz val="9.5"/>
      <name val="Times New Roman"/>
      <family val="1"/>
    </font>
    <font>
      <i/>
      <sz val="11"/>
      <name val="Arial"/>
      <family val="2"/>
    </font>
    <font>
      <vertAlign val="superscript"/>
      <sz val="10"/>
      <color theme="1"/>
      <name val="Calibri"/>
      <family val="2"/>
      <scheme val="minor"/>
    </font>
    <font>
      <b/>
      <sz val="10"/>
      <color rgb="FFFF0000"/>
      <name val="Calibri"/>
      <family val="2"/>
      <scheme val="minor"/>
    </font>
    <font>
      <vertAlign val="subscript"/>
      <sz val="10"/>
      <color theme="1"/>
      <name val="Calibri"/>
      <family val="2"/>
      <scheme val="minor"/>
    </font>
    <font>
      <b/>
      <sz val="10"/>
      <color theme="1"/>
      <name val="Times New Roman"/>
      <family val="1"/>
    </font>
    <font>
      <sz val="11"/>
      <color rgb="FF000000"/>
      <name val="Calibri"/>
      <family val="2"/>
      <scheme val="minor"/>
    </font>
    <font>
      <sz val="10"/>
      <color rgb="FF000000"/>
      <name val="Times New Roman"/>
      <family val="1"/>
    </font>
    <font>
      <b/>
      <vertAlign val="subscript"/>
      <sz val="11"/>
      <name val="Calibri"/>
      <family val="2"/>
      <scheme val="minor"/>
    </font>
    <font>
      <b/>
      <sz val="9.5"/>
      <color rgb="FF000000"/>
      <name val="Calibri"/>
      <family val="2"/>
      <scheme val="minor"/>
    </font>
    <font>
      <sz val="11"/>
      <color rgb="FFFF0000"/>
      <name val="Times New Roman"/>
      <family val="1"/>
    </font>
    <font>
      <b/>
      <sz val="18"/>
      <color rgb="FF000000"/>
      <name val="Times New Roman"/>
      <family val="1"/>
    </font>
    <font>
      <b/>
      <i/>
      <sz val="18"/>
      <color rgb="FF000000"/>
      <name val="Times New Roman"/>
      <family val="1"/>
    </font>
    <font>
      <b/>
      <sz val="14"/>
      <color theme="1"/>
      <name val="Times New Roman"/>
      <family val="1"/>
    </font>
    <font>
      <sz val="12"/>
      <color theme="1"/>
      <name val="Times New Roman"/>
      <family val="1"/>
    </font>
  </fonts>
  <fills count="20">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8" tint="0.39994506668294322"/>
        <bgColor indexed="64"/>
      </patternFill>
    </fill>
    <fill>
      <patternFill patternType="solid">
        <fgColor theme="8" tint="0.39997558519241921"/>
        <bgColor indexed="64"/>
      </patternFill>
    </fill>
    <fill>
      <patternFill patternType="solid">
        <fgColor theme="4" tint="0.59999389629810485"/>
        <bgColor indexed="64"/>
      </patternFill>
    </fill>
    <fill>
      <patternFill patternType="solid">
        <fgColor theme="0"/>
        <bgColor theme="4" tint="0.79998168889431442"/>
      </patternFill>
    </fill>
    <fill>
      <patternFill patternType="solid">
        <fgColor theme="9"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rgb="FFD9D9D9"/>
        <bgColor indexed="64"/>
      </patternFill>
    </fill>
    <fill>
      <patternFill patternType="solid">
        <fgColor theme="4" tint="0.59996337778862885"/>
        <bgColor indexed="64"/>
      </patternFill>
    </fill>
    <fill>
      <patternFill patternType="solid">
        <fgColor theme="2" tint="-0.24994659260841701"/>
        <bgColor indexed="64"/>
      </patternFill>
    </fill>
    <fill>
      <patternFill patternType="solid">
        <fgColor theme="0" tint="-0.24994659260841701"/>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6" tint="0.39994506668294322"/>
        <bgColor indexed="64"/>
      </patternFill>
    </fill>
    <fill>
      <patternFill patternType="solid">
        <fgColor theme="6" tint="0.79998168889431442"/>
        <bgColor indexed="64"/>
      </patternFill>
    </fill>
  </fills>
  <borders count="9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dashed">
        <color auto="1"/>
      </bottom>
      <diagonal/>
    </border>
    <border>
      <left/>
      <right/>
      <top/>
      <bottom style="dashed">
        <color auto="1"/>
      </bottom>
      <diagonal/>
    </border>
    <border>
      <left/>
      <right style="thin">
        <color auto="1"/>
      </right>
      <top/>
      <bottom style="dashed">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14996795556505021"/>
      </left>
      <right/>
      <top style="thin">
        <color theme="0" tint="-0.14996795556505021"/>
      </top>
      <bottom style="thin">
        <color theme="0" tint="-0.1499679555650502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bottom style="medium">
        <color auto="1"/>
      </bottom>
      <diagonal/>
    </border>
    <border>
      <left style="thin">
        <color auto="1"/>
      </left>
      <right style="thin">
        <color auto="1"/>
      </right>
      <top style="thin">
        <color auto="1"/>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auto="1"/>
      </left>
      <right style="thin">
        <color auto="1"/>
      </right>
      <top/>
      <bottom style="medium">
        <color auto="1"/>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style="thin">
        <color indexed="64"/>
      </right>
      <top/>
      <bottom/>
      <diagonal/>
    </border>
    <border>
      <left style="thin">
        <color indexed="64"/>
      </left>
      <right style="medium">
        <color indexed="64"/>
      </right>
      <top/>
      <bottom style="medium">
        <color indexed="64"/>
      </bottom>
      <diagonal/>
    </border>
    <border>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indexed="64"/>
      </left>
      <right style="medium">
        <color auto="1"/>
      </right>
      <top style="thin">
        <color indexed="64"/>
      </top>
      <bottom style="medium">
        <color indexed="64"/>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diagonal/>
    </border>
    <border>
      <left/>
      <right/>
      <top style="medium">
        <color auto="1"/>
      </top>
      <bottom style="thin">
        <color auto="1"/>
      </bottom>
      <diagonal/>
    </border>
    <border>
      <left style="thin">
        <color theme="0" tint="-0.14996795556505021"/>
      </left>
      <right style="thin">
        <color theme="0" tint="-0.14996795556505021"/>
      </right>
      <top/>
      <bottom style="thin">
        <color theme="0" tint="-0.1499679555650502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top style="medium">
        <color auto="1"/>
      </top>
      <bottom/>
      <diagonal/>
    </border>
    <border>
      <left/>
      <right style="thin">
        <color indexed="64"/>
      </right>
      <top style="medium">
        <color auto="1"/>
      </top>
      <bottom style="thin">
        <color auto="1"/>
      </bottom>
      <diagonal/>
    </border>
    <border>
      <left/>
      <right style="thin">
        <color auto="1"/>
      </right>
      <top style="thin">
        <color auto="1"/>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auto="1"/>
      </right>
      <top/>
      <bottom style="medium">
        <color indexed="64"/>
      </bottom>
      <diagonal/>
    </border>
    <border>
      <left style="medium">
        <color indexed="64"/>
      </left>
      <right/>
      <top style="thin">
        <color indexed="64"/>
      </top>
      <bottom style="medium">
        <color indexed="64"/>
      </bottom>
      <diagonal/>
    </border>
    <border>
      <left style="medium">
        <color auto="1"/>
      </left>
      <right/>
      <top/>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auto="1"/>
      </left>
      <right style="medium">
        <color indexed="64"/>
      </right>
      <top style="medium">
        <color auto="1"/>
      </top>
      <bottom style="medium">
        <color auto="1"/>
      </bottom>
      <diagonal/>
    </border>
    <border>
      <left style="medium">
        <color auto="1"/>
      </left>
      <right/>
      <top/>
      <bottom style="thin">
        <color auto="1"/>
      </bottom>
      <diagonal/>
    </border>
    <border>
      <left style="medium">
        <color indexed="64"/>
      </left>
      <right/>
      <top/>
      <bottom style="medium">
        <color indexed="64"/>
      </bottom>
      <diagonal/>
    </border>
    <border>
      <left style="thin">
        <color auto="1"/>
      </left>
      <right/>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ck">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thin">
        <color theme="1"/>
      </bottom>
      <diagonal/>
    </border>
    <border>
      <left style="medium">
        <color indexed="64"/>
      </left>
      <right style="medium">
        <color indexed="64"/>
      </right>
      <top style="thin">
        <color theme="1"/>
      </top>
      <bottom style="medium">
        <color indexed="64"/>
      </bottom>
      <diagonal/>
    </border>
    <border>
      <left style="thin">
        <color indexed="64"/>
      </left>
      <right style="medium">
        <color indexed="64"/>
      </right>
      <top/>
      <bottom/>
      <diagonal/>
    </border>
    <border>
      <left/>
      <right style="double">
        <color indexed="64"/>
      </right>
      <top style="medium">
        <color indexed="64"/>
      </top>
      <bottom style="medium">
        <color indexed="64"/>
      </bottom>
      <diagonal/>
    </border>
    <border>
      <left/>
      <right style="double">
        <color indexed="64"/>
      </right>
      <top/>
      <bottom style="medium">
        <color indexed="64"/>
      </bottom>
      <diagonal/>
    </border>
    <border>
      <left style="medium">
        <color auto="1"/>
      </left>
      <right style="double">
        <color indexed="64"/>
      </right>
      <top style="medium">
        <color auto="1"/>
      </top>
      <bottom/>
      <diagonal/>
    </border>
    <border>
      <left style="medium">
        <color indexed="64"/>
      </left>
      <right style="double">
        <color indexed="64"/>
      </right>
      <top/>
      <bottom style="medium">
        <color indexed="64"/>
      </bottom>
      <diagonal/>
    </border>
    <border>
      <left/>
      <right style="thin">
        <color auto="1"/>
      </right>
      <top style="medium">
        <color indexed="64"/>
      </top>
      <bottom style="medium">
        <color indexed="64"/>
      </bottom>
      <diagonal/>
    </border>
  </borders>
  <cellStyleXfs count="4">
    <xf numFmtId="0" fontId="0" fillId="0" borderId="0"/>
    <xf numFmtId="0" fontId="23" fillId="0" borderId="0"/>
    <xf numFmtId="43" fontId="15" fillId="0" borderId="0" applyFont="0" applyFill="0" applyBorder="0" applyAlignment="0" applyProtection="0"/>
    <xf numFmtId="0" fontId="48" fillId="0" borderId="0"/>
  </cellStyleXfs>
  <cellXfs count="500">
    <xf numFmtId="0" fontId="0" fillId="0" borderId="0" xfId="0"/>
    <xf numFmtId="0" fontId="51" fillId="0" borderId="0" xfId="0" applyFont="1" applyAlignment="1" applyProtection="1">
      <alignment horizontal="center"/>
    </xf>
    <xf numFmtId="0" fontId="0" fillId="0" borderId="0" xfId="0" applyProtection="1"/>
    <xf numFmtId="0" fontId="52" fillId="3" borderId="0" xfId="0" applyFont="1" applyFill="1" applyAlignment="1" applyProtection="1">
      <alignment horizontal="center" vertical="center" wrapText="1"/>
    </xf>
    <xf numFmtId="0" fontId="0" fillId="0" borderId="0" xfId="0" applyAlignment="1" applyProtection="1">
      <alignment horizontal="center"/>
    </xf>
    <xf numFmtId="0" fontId="54" fillId="0" borderId="0" xfId="0" applyFont="1" applyAlignment="1" applyProtection="1">
      <alignment horizontal="center" vertical="center"/>
    </xf>
    <xf numFmtId="0" fontId="55" fillId="0" borderId="0" xfId="0" applyFont="1" applyAlignment="1" applyProtection="1">
      <alignment horizontal="center"/>
    </xf>
    <xf numFmtId="49" fontId="36" fillId="0" borderId="0" xfId="0" applyNumberFormat="1" applyFont="1" applyAlignment="1" applyProtection="1">
      <alignment horizontal="left"/>
    </xf>
    <xf numFmtId="49" fontId="55" fillId="0" borderId="0" xfId="0" applyNumberFormat="1" applyFont="1" applyAlignment="1" applyProtection="1">
      <alignment horizontal="center" vertical="center"/>
    </xf>
    <xf numFmtId="0" fontId="1" fillId="0" borderId="0" xfId="0" applyFont="1" applyAlignment="1" applyProtection="1">
      <alignment horizontal="center"/>
    </xf>
    <xf numFmtId="0" fontId="3" fillId="0" borderId="0" xfId="0" applyFont="1" applyAlignment="1" applyProtection="1">
      <alignment horizontal="center" vertical="center"/>
    </xf>
    <xf numFmtId="0" fontId="0" fillId="0" borderId="0" xfId="0" applyAlignment="1" applyProtection="1">
      <alignment vertical="center"/>
    </xf>
    <xf numFmtId="0" fontId="30" fillId="13" borderId="31" xfId="0" applyFont="1" applyFill="1" applyBorder="1" applyAlignment="1" applyProtection="1">
      <alignment vertical="center"/>
    </xf>
    <xf numFmtId="0" fontId="31" fillId="13" borderId="31" xfId="0" applyFont="1" applyFill="1" applyBorder="1" applyAlignment="1" applyProtection="1">
      <alignment vertical="center"/>
    </xf>
    <xf numFmtId="0" fontId="32" fillId="0" borderId="77" xfId="0" applyFont="1" applyBorder="1" applyAlignment="1" applyProtection="1">
      <alignment horizontal="center" vertical="center" wrapText="1"/>
    </xf>
    <xf numFmtId="0" fontId="32" fillId="0" borderId="78" xfId="0" applyFont="1" applyBorder="1" applyAlignment="1" applyProtection="1">
      <alignment horizontal="center" vertical="center" wrapText="1"/>
    </xf>
    <xf numFmtId="0" fontId="0" fillId="0" borderId="0" xfId="0" applyAlignment="1" applyProtection="1">
      <alignment horizontal="center" vertical="center"/>
    </xf>
    <xf numFmtId="0" fontId="32" fillId="0" borderId="79" xfId="0" applyFont="1" applyBorder="1" applyAlignment="1" applyProtection="1">
      <alignment horizontal="center" vertical="center" wrapText="1"/>
    </xf>
    <xf numFmtId="0" fontId="32" fillId="0" borderId="80" xfId="0" applyFont="1" applyBorder="1" applyAlignment="1" applyProtection="1">
      <alignment horizontal="center" vertical="center" wrapText="1"/>
    </xf>
    <xf numFmtId="0" fontId="30" fillId="14" borderId="81" xfId="0" applyFont="1" applyFill="1" applyBorder="1" applyAlignment="1" applyProtection="1">
      <alignment horizontal="center" vertical="center"/>
    </xf>
    <xf numFmtId="0" fontId="30" fillId="14" borderId="82" xfId="0" applyFont="1" applyFill="1" applyBorder="1" applyAlignment="1" applyProtection="1">
      <alignment horizontal="center" vertical="center"/>
    </xf>
    <xf numFmtId="0" fontId="30" fillId="11" borderId="81" xfId="0" applyFont="1" applyFill="1" applyBorder="1" applyAlignment="1" applyProtection="1">
      <alignment horizontal="left" vertical="center"/>
    </xf>
    <xf numFmtId="0" fontId="31" fillId="3" borderId="82" xfId="0" applyFont="1" applyFill="1" applyBorder="1" applyAlignment="1" applyProtection="1">
      <alignment horizontal="left" vertical="center"/>
    </xf>
    <xf numFmtId="0" fontId="30" fillId="15" borderId="81" xfId="0" applyFont="1" applyFill="1" applyBorder="1" applyAlignment="1" applyProtection="1">
      <alignment vertical="center"/>
    </xf>
    <xf numFmtId="0" fontId="32" fillId="0" borderId="82" xfId="0" applyFont="1" applyBorder="1" applyAlignment="1" applyProtection="1">
      <alignment vertical="center" wrapText="1"/>
    </xf>
    <xf numFmtId="0" fontId="30" fillId="15" borderId="81" xfId="0" applyFont="1" applyFill="1" applyBorder="1" applyAlignment="1" applyProtection="1">
      <alignment horizontal="left" vertical="center"/>
    </xf>
    <xf numFmtId="0" fontId="30" fillId="15" borderId="83" xfId="0" applyFont="1" applyFill="1" applyBorder="1" applyAlignment="1" applyProtection="1">
      <alignment horizontal="left" vertical="center" wrapText="1"/>
    </xf>
    <xf numFmtId="0" fontId="32" fillId="0" borderId="84" xfId="0" applyFont="1" applyBorder="1" applyAlignment="1" applyProtection="1">
      <alignment vertical="center" wrapText="1"/>
    </xf>
    <xf numFmtId="0" fontId="30" fillId="0" borderId="0" xfId="0" applyFont="1" applyAlignment="1" applyProtection="1">
      <alignment horizontal="left" vertical="center" wrapText="1"/>
    </xf>
    <xf numFmtId="0" fontId="31" fillId="0" borderId="0" xfId="0" applyFont="1" applyAlignment="1" applyProtection="1">
      <alignment vertical="top" wrapText="1"/>
    </xf>
    <xf numFmtId="0" fontId="33" fillId="0" borderId="0" xfId="0" quotePrefix="1" applyFont="1" applyAlignment="1" applyProtection="1">
      <alignment vertical="center"/>
    </xf>
    <xf numFmtId="0" fontId="7" fillId="0" borderId="0" xfId="0" applyFont="1" applyProtection="1"/>
    <xf numFmtId="0" fontId="6" fillId="0" borderId="0" xfId="0" applyFont="1" applyProtection="1"/>
    <xf numFmtId="0" fontId="7" fillId="6" borderId="0" xfId="0" applyFont="1" applyFill="1" applyAlignment="1" applyProtection="1">
      <alignment horizontal="center"/>
    </xf>
    <xf numFmtId="0" fontId="7" fillId="19" borderId="0" xfId="0" applyFont="1" applyFill="1" applyAlignment="1" applyProtection="1">
      <alignment horizontal="left"/>
    </xf>
    <xf numFmtId="0" fontId="6" fillId="0" borderId="0" xfId="0" applyFont="1" applyAlignment="1" applyProtection="1">
      <alignment vertical="center"/>
    </xf>
    <xf numFmtId="0" fontId="6" fillId="0" borderId="0" xfId="0" quotePrefix="1" applyFont="1" applyAlignment="1" applyProtection="1">
      <alignment vertical="center" wrapText="1"/>
    </xf>
    <xf numFmtId="0" fontId="6" fillId="0" borderId="0" xfId="0" quotePrefix="1" applyFont="1" applyAlignment="1" applyProtection="1">
      <alignment wrapText="1"/>
    </xf>
    <xf numFmtId="0" fontId="6" fillId="0" borderId="0" xfId="0" applyFont="1" applyAlignment="1" applyProtection="1">
      <alignment horizontal="left" vertical="center"/>
    </xf>
    <xf numFmtId="0" fontId="6" fillId="0" borderId="0" xfId="0" applyFont="1" applyAlignment="1" applyProtection="1">
      <alignment horizontal="left" wrapText="1"/>
    </xf>
    <xf numFmtId="0" fontId="6" fillId="0" borderId="0" xfId="0" applyFont="1" applyAlignment="1" applyProtection="1">
      <alignment horizontal="left"/>
    </xf>
    <xf numFmtId="0" fontId="7" fillId="0" borderId="0" xfId="0" applyFont="1" applyAlignment="1" applyProtection="1">
      <alignment horizontal="left"/>
    </xf>
    <xf numFmtId="0" fontId="6" fillId="0" borderId="0" xfId="0" quotePrefix="1" applyFont="1" applyAlignment="1" applyProtection="1">
      <alignment horizontal="left"/>
    </xf>
    <xf numFmtId="0" fontId="17" fillId="3" borderId="0" xfId="0" applyFont="1" applyFill="1" applyAlignment="1" applyProtection="1">
      <alignment horizontal="center"/>
    </xf>
    <xf numFmtId="0" fontId="0" fillId="3" borderId="0" xfId="0" applyFill="1" applyProtection="1"/>
    <xf numFmtId="0" fontId="46" fillId="3" borderId="0" xfId="0" applyFont="1" applyFill="1" applyProtection="1"/>
    <xf numFmtId="0" fontId="35" fillId="3" borderId="0" xfId="0" applyFont="1" applyFill="1" applyProtection="1"/>
    <xf numFmtId="0" fontId="40" fillId="3" borderId="0" xfId="0" applyFont="1" applyFill="1" applyProtection="1"/>
    <xf numFmtId="0" fontId="34" fillId="3" borderId="49" xfId="0" applyFont="1" applyFill="1" applyBorder="1" applyAlignment="1" applyProtection="1">
      <alignment horizontal="center"/>
    </xf>
    <xf numFmtId="0" fontId="34" fillId="3" borderId="61" xfId="0" applyFont="1" applyFill="1" applyBorder="1" applyAlignment="1" applyProtection="1">
      <alignment horizontal="center"/>
    </xf>
    <xf numFmtId="0" fontId="34" fillId="3" borderId="50" xfId="0" applyFont="1" applyFill="1" applyBorder="1" applyAlignment="1" applyProtection="1">
      <alignment horizontal="center"/>
    </xf>
    <xf numFmtId="0" fontId="0" fillId="3" borderId="0" xfId="0" applyFill="1" applyAlignment="1" applyProtection="1">
      <alignment wrapText="1"/>
    </xf>
    <xf numFmtId="1" fontId="35" fillId="10" borderId="73" xfId="0" applyNumberFormat="1" applyFont="1" applyFill="1" applyBorder="1" applyAlignment="1" applyProtection="1">
      <alignment horizontal="center"/>
    </xf>
    <xf numFmtId="1" fontId="35" fillId="10" borderId="51" xfId="0" applyNumberFormat="1" applyFont="1" applyFill="1" applyBorder="1" applyAlignment="1" applyProtection="1">
      <alignment horizontal="center"/>
    </xf>
    <xf numFmtId="3" fontId="35" fillId="10" borderId="71" xfId="0" applyNumberFormat="1" applyFont="1" applyFill="1" applyBorder="1" applyAlignment="1" applyProtection="1">
      <alignment horizontal="center"/>
    </xf>
    <xf numFmtId="0" fontId="35" fillId="10" borderId="71" xfId="0" applyFont="1" applyFill="1" applyBorder="1" applyAlignment="1" applyProtection="1">
      <alignment horizontal="center"/>
    </xf>
    <xf numFmtId="1" fontId="35" fillId="10" borderId="71" xfId="0" applyNumberFormat="1" applyFont="1" applyFill="1" applyBorder="1" applyAlignment="1" applyProtection="1">
      <alignment horizontal="center"/>
    </xf>
    <xf numFmtId="0" fontId="1" fillId="3" borderId="49" xfId="0" applyFont="1" applyFill="1" applyBorder="1" applyAlignment="1" applyProtection="1">
      <alignment horizontal="right"/>
    </xf>
    <xf numFmtId="0" fontId="0" fillId="16" borderId="50" xfId="0" applyFill="1" applyBorder="1" applyAlignment="1" applyProtection="1">
      <alignment horizontal="center"/>
    </xf>
    <xf numFmtId="0" fontId="36" fillId="3" borderId="0" xfId="0" applyFont="1" applyFill="1" applyAlignment="1" applyProtection="1">
      <alignment vertical="center"/>
    </xf>
    <xf numFmtId="0" fontId="46" fillId="8" borderId="46" xfId="0" applyFont="1" applyFill="1" applyBorder="1" applyAlignment="1" applyProtection="1">
      <alignment horizontal="center" vertical="center" wrapText="1"/>
    </xf>
    <xf numFmtId="0" fontId="37" fillId="8" borderId="46" xfId="0" applyFont="1" applyFill="1" applyBorder="1" applyAlignment="1" applyProtection="1">
      <alignment horizontal="center" vertical="center" wrapText="1"/>
    </xf>
    <xf numFmtId="0" fontId="37" fillId="17" borderId="46" xfId="0" applyFont="1" applyFill="1" applyBorder="1" applyAlignment="1" applyProtection="1">
      <alignment horizontal="center" vertical="center" wrapText="1"/>
    </xf>
    <xf numFmtId="0" fontId="38" fillId="17" borderId="46" xfId="0" applyFont="1" applyFill="1" applyBorder="1" applyAlignment="1" applyProtection="1">
      <alignment horizontal="center" vertical="center" wrapText="1"/>
    </xf>
    <xf numFmtId="0" fontId="38" fillId="17" borderId="49" xfId="0" applyFont="1" applyFill="1" applyBorder="1" applyAlignment="1" applyProtection="1">
      <alignment horizontal="center" vertical="center" wrapText="1"/>
    </xf>
    <xf numFmtId="0" fontId="38" fillId="17" borderId="61" xfId="0" applyFont="1" applyFill="1" applyBorder="1" applyAlignment="1" applyProtection="1">
      <alignment horizontal="center" vertical="center" wrapText="1"/>
    </xf>
    <xf numFmtId="0" fontId="38" fillId="17" borderId="89" xfId="0" applyFont="1" applyFill="1" applyBorder="1" applyAlignment="1" applyProtection="1">
      <alignment horizontal="center" vertical="center" wrapText="1"/>
    </xf>
    <xf numFmtId="0" fontId="38" fillId="17" borderId="50" xfId="0" applyFont="1" applyFill="1" applyBorder="1" applyAlignment="1" applyProtection="1">
      <alignment horizontal="center" vertical="center" wrapText="1"/>
    </xf>
    <xf numFmtId="0" fontId="1" fillId="16" borderId="49" xfId="0" applyFont="1" applyFill="1" applyBorder="1" applyAlignment="1" applyProtection="1">
      <alignment horizontal="center" wrapText="1"/>
    </xf>
    <xf numFmtId="0" fontId="1" fillId="16" borderId="61" xfId="0" applyFont="1" applyFill="1" applyBorder="1" applyAlignment="1" applyProtection="1">
      <alignment horizontal="center" wrapText="1"/>
    </xf>
    <xf numFmtId="0" fontId="1" fillId="16" borderId="50" xfId="0" applyFont="1" applyFill="1" applyBorder="1" applyAlignment="1" applyProtection="1">
      <alignment horizontal="center" wrapText="1"/>
    </xf>
    <xf numFmtId="0" fontId="1" fillId="3" borderId="0" xfId="0" applyFont="1" applyFill="1" applyAlignment="1" applyProtection="1">
      <alignment wrapText="1"/>
    </xf>
    <xf numFmtId="0" fontId="46" fillId="8" borderId="51" xfId="0" applyFont="1" applyFill="1" applyBorder="1" applyAlignment="1" applyProtection="1">
      <alignment horizontal="center" vertical="center" wrapText="1"/>
    </xf>
    <xf numFmtId="0" fontId="37" fillId="8" borderId="51" xfId="0" applyFont="1" applyFill="1" applyBorder="1" applyAlignment="1" applyProtection="1">
      <alignment horizontal="center" vertical="center" wrapText="1"/>
    </xf>
    <xf numFmtId="0" fontId="37" fillId="17" borderId="51" xfId="0" applyFont="1" applyFill="1" applyBorder="1" applyAlignment="1" applyProtection="1">
      <alignment horizontal="center" vertical="center" wrapText="1"/>
    </xf>
    <xf numFmtId="0" fontId="38" fillId="17" borderId="51" xfId="0" applyFont="1" applyFill="1" applyBorder="1" applyAlignment="1" applyProtection="1">
      <alignment horizontal="center" vertical="center" wrapText="1"/>
    </xf>
    <xf numFmtId="0" fontId="38" fillId="17" borderId="56" xfId="0" applyFont="1" applyFill="1" applyBorder="1" applyAlignment="1" applyProtection="1">
      <alignment horizontal="center" vertical="center" wrapText="1"/>
    </xf>
    <xf numFmtId="0" fontId="38" fillId="17" borderId="51" xfId="0" applyFont="1" applyFill="1" applyBorder="1" applyAlignment="1" applyProtection="1">
      <alignment horizontal="center" vertical="center" wrapText="1"/>
    </xf>
    <xf numFmtId="0" fontId="38" fillId="17" borderId="68" xfId="0" applyFont="1" applyFill="1" applyBorder="1" applyAlignment="1" applyProtection="1">
      <alignment horizontal="center" vertical="center" wrapText="1"/>
    </xf>
    <xf numFmtId="0" fontId="38" fillId="17" borderId="90" xfId="0" applyFont="1" applyFill="1" applyBorder="1" applyAlignment="1" applyProtection="1">
      <alignment horizontal="center" vertical="center" wrapText="1"/>
    </xf>
    <xf numFmtId="0" fontId="38" fillId="17" borderId="33" xfId="0" applyFont="1" applyFill="1" applyBorder="1" applyAlignment="1" applyProtection="1">
      <alignment horizontal="center" vertical="center" wrapText="1"/>
    </xf>
    <xf numFmtId="0" fontId="38" fillId="17" borderId="25" xfId="0" applyFont="1" applyFill="1" applyBorder="1" applyAlignment="1" applyProtection="1">
      <alignment horizontal="center" vertical="center" wrapText="1"/>
    </xf>
    <xf numFmtId="0" fontId="40" fillId="18" borderId="71" xfId="0" applyFont="1" applyFill="1" applyBorder="1" applyAlignment="1" applyProtection="1">
      <alignment horizontal="center"/>
    </xf>
    <xf numFmtId="0" fontId="39" fillId="3" borderId="71" xfId="0" applyFont="1" applyFill="1" applyBorder="1" applyAlignment="1" applyProtection="1">
      <alignment horizontal="center"/>
    </xf>
    <xf numFmtId="0" fontId="39" fillId="3" borderId="46" xfId="0" applyFont="1" applyFill="1" applyBorder="1" applyAlignment="1" applyProtection="1">
      <alignment horizontal="center" vertical="top" wrapText="1"/>
    </xf>
    <xf numFmtId="0" fontId="41" fillId="3" borderId="46" xfId="0" applyFont="1" applyFill="1" applyBorder="1" applyAlignment="1" applyProtection="1">
      <alignment horizontal="center" vertical="center" wrapText="1"/>
    </xf>
    <xf numFmtId="0" fontId="39" fillId="3" borderId="46" xfId="0" applyFont="1" applyFill="1" applyBorder="1" applyAlignment="1" applyProtection="1">
      <alignment horizontal="center" vertical="center" wrapText="1"/>
    </xf>
    <xf numFmtId="0" fontId="39" fillId="3" borderId="55" xfId="0" applyFont="1" applyFill="1" applyBorder="1" applyAlignment="1" applyProtection="1">
      <alignment horizontal="center" vertical="center" wrapText="1"/>
    </xf>
    <xf numFmtId="2" fontId="39" fillId="3" borderId="46" xfId="0" applyNumberFormat="1" applyFont="1" applyFill="1" applyBorder="1" applyAlignment="1" applyProtection="1">
      <alignment horizontal="center" vertical="center" wrapText="1"/>
    </xf>
    <xf numFmtId="2" fontId="39" fillId="3" borderId="91" xfId="0" applyNumberFormat="1" applyFont="1" applyFill="1" applyBorder="1" applyAlignment="1" applyProtection="1">
      <alignment horizontal="center" vertical="center" wrapText="1"/>
    </xf>
    <xf numFmtId="1" fontId="39" fillId="3" borderId="37" xfId="0" applyNumberFormat="1" applyFont="1" applyFill="1" applyBorder="1" applyAlignment="1" applyProtection="1">
      <alignment horizontal="center" vertical="center" wrapText="1"/>
    </xf>
    <xf numFmtId="2" fontId="39" fillId="3" borderId="46" xfId="0" applyNumberFormat="1" applyFont="1" applyFill="1" applyBorder="1" applyAlignment="1" applyProtection="1">
      <alignment horizontal="center" vertical="center" wrapText="1"/>
    </xf>
    <xf numFmtId="0" fontId="39" fillId="3" borderId="33" xfId="0" applyFont="1" applyFill="1" applyBorder="1" applyAlignment="1" applyProtection="1">
      <alignment horizontal="center" vertical="center"/>
    </xf>
    <xf numFmtId="0" fontId="39" fillId="3" borderId="25" xfId="0" applyFont="1" applyFill="1" applyBorder="1" applyAlignment="1" applyProtection="1">
      <alignment horizontal="center" vertical="center"/>
    </xf>
    <xf numFmtId="0" fontId="39" fillId="3" borderId="27" xfId="0" applyFont="1" applyFill="1" applyBorder="1" applyAlignment="1" applyProtection="1">
      <alignment horizontal="center" vertical="center"/>
    </xf>
    <xf numFmtId="0" fontId="0" fillId="3" borderId="71" xfId="0" applyFill="1" applyBorder="1" applyProtection="1"/>
    <xf numFmtId="0" fontId="0" fillId="3" borderId="71" xfId="0" applyFill="1" applyBorder="1" applyAlignment="1" applyProtection="1">
      <alignment horizontal="center"/>
    </xf>
    <xf numFmtId="2" fontId="0" fillId="3" borderId="71" xfId="0" applyNumberFormat="1" applyFill="1" applyBorder="1" applyAlignment="1" applyProtection="1">
      <alignment horizontal="center"/>
    </xf>
    <xf numFmtId="0" fontId="39" fillId="3" borderId="56" xfId="0" applyFont="1" applyFill="1" applyBorder="1" applyAlignment="1" applyProtection="1">
      <alignment horizontal="center" vertical="top" wrapText="1"/>
    </xf>
    <xf numFmtId="0" fontId="41" fillId="3" borderId="56" xfId="0" applyFont="1" applyFill="1" applyBorder="1" applyAlignment="1" applyProtection="1">
      <alignment horizontal="center" vertical="center" wrapText="1"/>
    </xf>
    <xf numFmtId="0" fontId="0" fillId="0" borderId="56" xfId="0" applyBorder="1" applyAlignment="1" applyProtection="1">
      <alignment horizontal="center" vertical="center" wrapText="1"/>
    </xf>
    <xf numFmtId="0" fontId="39" fillId="3" borderId="56" xfId="0" applyFont="1" applyFill="1" applyBorder="1" applyAlignment="1" applyProtection="1">
      <alignment horizontal="center" vertical="center" wrapText="1"/>
    </xf>
    <xf numFmtId="0" fontId="39" fillId="3" borderId="68" xfId="0" applyFont="1" applyFill="1" applyBorder="1" applyAlignment="1" applyProtection="1">
      <alignment horizontal="center" vertical="center" wrapText="1"/>
    </xf>
    <xf numFmtId="2" fontId="39" fillId="3" borderId="51" xfId="0" applyNumberFormat="1" applyFont="1" applyFill="1" applyBorder="1" applyAlignment="1" applyProtection="1">
      <alignment horizontal="center" vertical="center" wrapText="1"/>
    </xf>
    <xf numFmtId="2" fontId="39" fillId="3" borderId="92" xfId="0" applyNumberFormat="1" applyFont="1" applyFill="1" applyBorder="1" applyAlignment="1" applyProtection="1">
      <alignment horizontal="center" vertical="center" wrapText="1"/>
    </xf>
    <xf numFmtId="1" fontId="39" fillId="3" borderId="68" xfId="0" applyNumberFormat="1" applyFont="1" applyFill="1" applyBorder="1" applyAlignment="1" applyProtection="1">
      <alignment horizontal="center" vertical="center" wrapText="1"/>
    </xf>
    <xf numFmtId="0" fontId="39" fillId="3" borderId="64" xfId="0" applyFont="1" applyFill="1" applyBorder="1" applyAlignment="1" applyProtection="1">
      <alignment horizontal="center" vertical="center"/>
    </xf>
    <xf numFmtId="0" fontId="39" fillId="3" borderId="26" xfId="0" applyFont="1" applyFill="1" applyBorder="1" applyAlignment="1" applyProtection="1">
      <alignment horizontal="center" vertical="center"/>
    </xf>
    <xf numFmtId="0" fontId="39" fillId="3" borderId="37" xfId="0" applyFont="1" applyFill="1" applyBorder="1" applyAlignment="1" applyProtection="1">
      <alignment horizontal="center" vertical="center"/>
    </xf>
    <xf numFmtId="0" fontId="39" fillId="3" borderId="32" xfId="0" applyFont="1" applyFill="1" applyBorder="1" applyAlignment="1" applyProtection="1">
      <alignment horizontal="center" vertical="center"/>
    </xf>
    <xf numFmtId="0" fontId="39" fillId="3" borderId="31" xfId="0" applyFont="1" applyFill="1" applyBorder="1" applyAlignment="1" applyProtection="1">
      <alignment horizontal="center" vertical="center"/>
    </xf>
    <xf numFmtId="0" fontId="39" fillId="3" borderId="76" xfId="0" applyFont="1" applyFill="1" applyBorder="1" applyAlignment="1" applyProtection="1">
      <alignment horizontal="center" vertical="center"/>
    </xf>
    <xf numFmtId="0" fontId="41" fillId="3" borderId="51" xfId="0" applyFont="1" applyFill="1" applyBorder="1" applyAlignment="1" applyProtection="1">
      <alignment horizontal="center" vertical="center" wrapText="1"/>
    </xf>
    <xf numFmtId="0" fontId="39" fillId="3" borderId="51" xfId="0" applyFont="1" applyFill="1" applyBorder="1" applyAlignment="1" applyProtection="1">
      <alignment horizontal="center" vertical="center" wrapText="1"/>
    </xf>
    <xf numFmtId="0" fontId="39" fillId="3" borderId="72" xfId="0" applyFont="1" applyFill="1" applyBorder="1" applyAlignment="1" applyProtection="1">
      <alignment horizontal="center" vertical="center"/>
    </xf>
    <xf numFmtId="0" fontId="39" fillId="3" borderId="24" xfId="0" applyFont="1" applyFill="1" applyBorder="1" applyAlignment="1" applyProtection="1">
      <alignment horizontal="center" vertical="center"/>
    </xf>
    <xf numFmtId="0" fontId="39" fillId="3" borderId="66" xfId="0" applyFont="1" applyFill="1" applyBorder="1" applyAlignment="1" applyProtection="1">
      <alignment horizontal="center" vertical="center"/>
    </xf>
    <xf numFmtId="2" fontId="39" fillId="3" borderId="56" xfId="0" applyNumberFormat="1" applyFont="1" applyFill="1" applyBorder="1" applyAlignment="1" applyProtection="1">
      <alignment horizontal="center" vertical="center" wrapText="1"/>
    </xf>
    <xf numFmtId="0" fontId="0" fillId="0" borderId="51" xfId="0" applyBorder="1" applyAlignment="1" applyProtection="1">
      <alignment horizontal="center" vertical="center" wrapText="1"/>
    </xf>
    <xf numFmtId="0" fontId="0" fillId="3" borderId="0" xfId="0" quotePrefix="1" applyFill="1" applyProtection="1"/>
    <xf numFmtId="0" fontId="39" fillId="3" borderId="37" xfId="0" applyFont="1" applyFill="1" applyBorder="1" applyAlignment="1" applyProtection="1">
      <alignment horizontal="center" vertical="center" wrapText="1"/>
    </xf>
    <xf numFmtId="0" fontId="39" fillId="3" borderId="56" xfId="0" applyFont="1" applyFill="1" applyBorder="1" applyAlignment="1" applyProtection="1">
      <alignment horizontal="center" vertical="top" wrapText="1"/>
    </xf>
    <xf numFmtId="0" fontId="0" fillId="0" borderId="56" xfId="0" applyBorder="1" applyAlignment="1" applyProtection="1">
      <alignment horizontal="center" vertical="top" wrapText="1"/>
    </xf>
    <xf numFmtId="0" fontId="0" fillId="0" borderId="51" xfId="0" applyBorder="1" applyAlignment="1" applyProtection="1">
      <alignment horizontal="center" vertical="top" wrapText="1"/>
    </xf>
    <xf numFmtId="0" fontId="39" fillId="3" borderId="56" xfId="0" applyFont="1" applyFill="1" applyBorder="1" applyAlignment="1" applyProtection="1">
      <alignment horizontal="center" vertical="center" wrapText="1"/>
    </xf>
    <xf numFmtId="0" fontId="39" fillId="3" borderId="73" xfId="0" applyFont="1" applyFill="1" applyBorder="1" applyAlignment="1" applyProtection="1">
      <alignment horizontal="center" vertical="center"/>
    </xf>
    <xf numFmtId="0" fontId="39" fillId="3" borderId="36" xfId="0" applyFont="1" applyFill="1" applyBorder="1" applyAlignment="1" applyProtection="1">
      <alignment horizontal="center" vertical="center"/>
    </xf>
    <xf numFmtId="0" fontId="39" fillId="3" borderId="68" xfId="0" applyFont="1" applyFill="1" applyBorder="1" applyAlignment="1" applyProtection="1">
      <alignment horizontal="center" vertical="center"/>
    </xf>
    <xf numFmtId="0" fontId="39" fillId="3" borderId="51" xfId="0" applyFont="1" applyFill="1" applyBorder="1" applyAlignment="1" applyProtection="1">
      <alignment horizontal="center" vertical="top" wrapText="1"/>
    </xf>
    <xf numFmtId="0" fontId="6" fillId="3" borderId="0" xfId="0" applyFont="1" applyFill="1" applyAlignment="1" applyProtection="1">
      <alignment vertical="center"/>
    </xf>
    <xf numFmtId="0" fontId="6" fillId="3" borderId="0" xfId="0" applyFont="1" applyFill="1" applyAlignment="1" applyProtection="1">
      <alignment horizontal="center" vertical="center"/>
    </xf>
    <xf numFmtId="0" fontId="6" fillId="3" borderId="0" xfId="0" applyFont="1" applyFill="1" applyAlignment="1" applyProtection="1">
      <alignment vertical="center" wrapText="1"/>
    </xf>
    <xf numFmtId="0" fontId="6" fillId="3" borderId="0" xfId="0" applyFont="1" applyFill="1" applyAlignment="1" applyProtection="1">
      <alignment horizontal="center" vertical="center" wrapText="1"/>
    </xf>
    <xf numFmtId="0" fontId="10" fillId="3" borderId="0" xfId="0" applyFont="1" applyFill="1" applyAlignment="1" applyProtection="1">
      <alignment vertical="center"/>
    </xf>
    <xf numFmtId="0" fontId="10" fillId="3" borderId="0" xfId="0" applyFont="1" applyFill="1" applyAlignment="1" applyProtection="1">
      <alignment horizontal="center" vertical="center"/>
    </xf>
    <xf numFmtId="0" fontId="10" fillId="3" borderId="0" xfId="0" applyFont="1" applyFill="1" applyAlignment="1" applyProtection="1">
      <alignment vertical="center" wrapText="1"/>
    </xf>
    <xf numFmtId="0" fontId="19" fillId="4" borderId="35" xfId="0" applyFont="1" applyFill="1" applyBorder="1" applyAlignment="1" applyProtection="1">
      <alignment horizontal="center" vertical="center" wrapText="1"/>
    </xf>
    <xf numFmtId="0" fontId="19" fillId="4" borderId="60" xfId="0" applyFont="1" applyFill="1" applyBorder="1" applyAlignment="1" applyProtection="1">
      <alignment vertical="center" wrapText="1"/>
    </xf>
    <xf numFmtId="0" fontId="19" fillId="4" borderId="50" xfId="0" applyFont="1" applyFill="1" applyBorder="1" applyAlignment="1" applyProtection="1">
      <alignment vertical="center" wrapText="1"/>
    </xf>
    <xf numFmtId="0" fontId="19" fillId="3" borderId="0" xfId="0" applyFont="1" applyFill="1" applyAlignment="1" applyProtection="1">
      <alignment horizontal="center" vertical="center" wrapText="1"/>
    </xf>
    <xf numFmtId="0" fontId="19" fillId="4" borderId="71" xfId="0" applyFont="1" applyFill="1" applyBorder="1" applyAlignment="1" applyProtection="1">
      <alignment vertical="center" wrapText="1"/>
    </xf>
    <xf numFmtId="0" fontId="8" fillId="4" borderId="34" xfId="0" applyFont="1" applyFill="1" applyBorder="1" applyAlignment="1" applyProtection="1">
      <alignment horizontal="center" vertical="center" wrapText="1"/>
    </xf>
    <xf numFmtId="0" fontId="8" fillId="4" borderId="17" xfId="0" applyFont="1" applyFill="1" applyBorder="1" applyAlignment="1" applyProtection="1">
      <alignment horizontal="center" vertical="center" wrapText="1"/>
    </xf>
    <xf numFmtId="0" fontId="8" fillId="4" borderId="42" xfId="0" applyFont="1" applyFill="1" applyBorder="1" applyAlignment="1" applyProtection="1">
      <alignment horizontal="center" vertical="center" wrapText="1"/>
    </xf>
    <xf numFmtId="0" fontId="8" fillId="4" borderId="75" xfId="0" applyFont="1" applyFill="1" applyBorder="1" applyAlignment="1" applyProtection="1">
      <alignment horizontal="left" vertical="center" wrapText="1"/>
    </xf>
    <xf numFmtId="0" fontId="10" fillId="2" borderId="21" xfId="0" applyFont="1" applyFill="1" applyBorder="1" applyAlignment="1" applyProtection="1">
      <alignment horizontal="center" vertical="center" wrapText="1"/>
    </xf>
    <xf numFmtId="0" fontId="10" fillId="2" borderId="74" xfId="0" applyFont="1" applyFill="1" applyBorder="1" applyAlignment="1" applyProtection="1">
      <alignment horizontal="center" vertical="center" wrapText="1"/>
    </xf>
    <xf numFmtId="0" fontId="10" fillId="2" borderId="68" xfId="0" applyFont="1" applyFill="1" applyBorder="1" applyAlignment="1" applyProtection="1">
      <alignment horizontal="center" vertical="center" wrapText="1"/>
    </xf>
    <xf numFmtId="0" fontId="10" fillId="2" borderId="44" xfId="0" applyFont="1" applyFill="1" applyBorder="1" applyAlignment="1" applyProtection="1">
      <alignment horizontal="center" vertical="center" wrapText="1"/>
    </xf>
    <xf numFmtId="0" fontId="8" fillId="3" borderId="0" xfId="0" applyFont="1" applyFill="1" applyAlignment="1" applyProtection="1">
      <alignment horizontal="left" vertical="center"/>
    </xf>
    <xf numFmtId="0" fontId="10" fillId="3" borderId="0" xfId="0" applyFont="1" applyFill="1" applyAlignment="1" applyProtection="1">
      <alignment horizontal="left" vertical="center" wrapText="1"/>
    </xf>
    <xf numFmtId="0" fontId="19" fillId="3" borderId="0" xfId="0" applyFont="1" applyFill="1" applyAlignment="1" applyProtection="1">
      <alignment vertical="center"/>
    </xf>
    <xf numFmtId="0" fontId="7" fillId="3" borderId="0" xfId="0" applyFont="1" applyFill="1" applyAlignment="1" applyProtection="1">
      <alignment vertical="center"/>
    </xf>
    <xf numFmtId="0" fontId="8" fillId="5" borderId="33" xfId="0" applyFont="1" applyFill="1" applyBorder="1" applyAlignment="1" applyProtection="1">
      <alignment horizontal="center" vertical="center"/>
    </xf>
    <xf numFmtId="0" fontId="8" fillId="5" borderId="25" xfId="0" applyFont="1" applyFill="1" applyBorder="1" applyAlignment="1" applyProtection="1">
      <alignment horizontal="center" vertical="center"/>
    </xf>
    <xf numFmtId="0" fontId="8" fillId="5" borderId="14" xfId="0" applyFont="1" applyFill="1" applyBorder="1" applyAlignment="1" applyProtection="1">
      <alignment horizontal="center" vertical="center" wrapText="1"/>
    </xf>
    <xf numFmtId="0" fontId="8" fillId="5" borderId="18" xfId="0" applyFont="1" applyFill="1" applyBorder="1" applyAlignment="1" applyProtection="1">
      <alignment horizontal="center" vertical="center" wrapText="1"/>
    </xf>
    <xf numFmtId="0" fontId="8" fillId="5" borderId="16" xfId="0" applyFont="1" applyFill="1" applyBorder="1" applyAlignment="1" applyProtection="1">
      <alignment horizontal="center" vertical="center"/>
    </xf>
    <xf numFmtId="0" fontId="8" fillId="5" borderId="14"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8" fillId="5" borderId="36" xfId="0" applyFont="1" applyFill="1" applyBorder="1" applyAlignment="1" applyProtection="1">
      <alignment horizontal="center" vertical="center"/>
    </xf>
    <xf numFmtId="0" fontId="8" fillId="5" borderId="15" xfId="0" applyFont="1" applyFill="1" applyBorder="1" applyAlignment="1" applyProtection="1">
      <alignment horizontal="center" vertical="center" wrapText="1"/>
    </xf>
    <xf numFmtId="0" fontId="8" fillId="5" borderId="22" xfId="0" applyFont="1" applyFill="1" applyBorder="1" applyAlignment="1" applyProtection="1">
      <alignment horizontal="center" vertical="center" wrapText="1"/>
    </xf>
    <xf numFmtId="0" fontId="8" fillId="5" borderId="21" xfId="0" applyFont="1" applyFill="1" applyBorder="1" applyAlignment="1" applyProtection="1">
      <alignment horizontal="center" vertical="center"/>
    </xf>
    <xf numFmtId="0" fontId="8" fillId="5" borderId="15" xfId="0" applyFont="1" applyFill="1" applyBorder="1" applyAlignment="1" applyProtection="1">
      <alignment horizontal="center" vertical="center"/>
    </xf>
    <xf numFmtId="0" fontId="6" fillId="2" borderId="16" xfId="0" applyFont="1" applyFill="1" applyBorder="1" applyAlignment="1" applyProtection="1">
      <alignment horizontal="center" vertical="center"/>
    </xf>
    <xf numFmtId="0" fontId="6" fillId="3" borderId="25" xfId="0" applyFont="1" applyFill="1" applyBorder="1" applyAlignment="1" applyProtection="1">
      <alignment horizontal="center" vertical="center" wrapText="1"/>
    </xf>
    <xf numFmtId="165" fontId="10" fillId="3" borderId="14" xfId="0" applyNumberFormat="1" applyFont="1" applyFill="1" applyBorder="1" applyAlignment="1" applyProtection="1">
      <alignment horizontal="center" vertical="center"/>
    </xf>
    <xf numFmtId="165" fontId="10" fillId="3" borderId="18" xfId="0" applyNumberFormat="1" applyFont="1" applyFill="1" applyBorder="1" applyAlignment="1" applyProtection="1">
      <alignment horizontal="center" vertical="center"/>
    </xf>
    <xf numFmtId="0" fontId="6" fillId="2" borderId="16" xfId="0" applyFont="1" applyFill="1" applyBorder="1" applyAlignment="1" applyProtection="1">
      <alignment horizontal="center" vertical="center"/>
    </xf>
    <xf numFmtId="0" fontId="6" fillId="3" borderId="14" xfId="0" applyFont="1" applyFill="1" applyBorder="1" applyAlignment="1" applyProtection="1">
      <alignment vertical="center"/>
    </xf>
    <xf numFmtId="0" fontId="6" fillId="2" borderId="19" xfId="0" applyFont="1" applyFill="1" applyBorder="1" applyAlignment="1" applyProtection="1">
      <alignment horizontal="center" vertical="center"/>
    </xf>
    <xf numFmtId="0" fontId="6" fillId="3" borderId="24" xfId="0" applyFont="1" applyFill="1" applyBorder="1" applyAlignment="1" applyProtection="1">
      <alignment horizontal="center" vertical="center" wrapText="1"/>
    </xf>
    <xf numFmtId="165" fontId="10" fillId="3" borderId="1" xfId="0" applyNumberFormat="1" applyFont="1" applyFill="1" applyBorder="1" applyAlignment="1" applyProtection="1">
      <alignment horizontal="center" vertical="center"/>
    </xf>
    <xf numFmtId="165" fontId="10" fillId="3" borderId="20" xfId="0" applyNumberFormat="1" applyFont="1" applyFill="1" applyBorder="1" applyAlignment="1" applyProtection="1">
      <alignment horizontal="center" vertical="center"/>
    </xf>
    <xf numFmtId="0" fontId="6" fillId="2" borderId="21" xfId="0" applyFont="1" applyFill="1" applyBorder="1" applyAlignment="1" applyProtection="1">
      <alignment horizontal="center" vertical="center"/>
    </xf>
    <xf numFmtId="0" fontId="6" fillId="3" borderId="36" xfId="0" applyFont="1" applyFill="1" applyBorder="1" applyAlignment="1" applyProtection="1">
      <alignment vertical="center"/>
    </xf>
    <xf numFmtId="165" fontId="10" fillId="3" borderId="36" xfId="0" applyNumberFormat="1" applyFont="1" applyFill="1" applyBorder="1" applyAlignment="1" applyProtection="1">
      <alignment horizontal="center" vertical="center"/>
    </xf>
    <xf numFmtId="0" fontId="6" fillId="2" borderId="34" xfId="0" applyFont="1" applyFill="1" applyBorder="1" applyAlignment="1" applyProtection="1">
      <alignment horizontal="center" vertical="center"/>
    </xf>
    <xf numFmtId="0" fontId="6" fillId="3" borderId="26" xfId="0" applyFont="1" applyFill="1" applyBorder="1" applyAlignment="1" applyProtection="1">
      <alignment horizontal="center" vertical="center"/>
    </xf>
    <xf numFmtId="165" fontId="10" fillId="3" borderId="24" xfId="0" applyNumberFormat="1" applyFont="1" applyFill="1" applyBorder="1" applyAlignment="1" applyProtection="1">
      <alignment horizontal="center" vertical="center"/>
    </xf>
    <xf numFmtId="165" fontId="10" fillId="3" borderId="28" xfId="0" applyNumberFormat="1" applyFont="1" applyFill="1" applyBorder="1" applyAlignment="1" applyProtection="1">
      <alignment horizontal="center" vertical="center"/>
    </xf>
    <xf numFmtId="167" fontId="6" fillId="2" borderId="16" xfId="0" applyNumberFormat="1" applyFont="1" applyFill="1" applyBorder="1" applyAlignment="1" applyProtection="1">
      <alignment horizontal="center" vertical="center" wrapText="1"/>
    </xf>
    <xf numFmtId="0" fontId="6" fillId="2" borderId="21" xfId="0" applyFont="1" applyFill="1" applyBorder="1" applyAlignment="1" applyProtection="1">
      <alignment horizontal="center" vertical="center"/>
    </xf>
    <xf numFmtId="0" fontId="6" fillId="3" borderId="36" xfId="0" applyFont="1" applyFill="1" applyBorder="1" applyAlignment="1" applyProtection="1">
      <alignment horizontal="center" vertical="center"/>
    </xf>
    <xf numFmtId="165" fontId="10" fillId="3" borderId="15" xfId="0" applyNumberFormat="1" applyFont="1" applyFill="1" applyBorder="1" applyAlignment="1" applyProtection="1">
      <alignment horizontal="center" vertical="center"/>
    </xf>
    <xf numFmtId="165" fontId="10" fillId="3" borderId="22" xfId="0" applyNumberFormat="1" applyFont="1" applyFill="1" applyBorder="1" applyAlignment="1" applyProtection="1">
      <alignment horizontal="center" vertical="center"/>
    </xf>
    <xf numFmtId="167" fontId="6" fillId="2" borderId="21" xfId="0" applyNumberFormat="1" applyFont="1" applyFill="1" applyBorder="1" applyAlignment="1" applyProtection="1">
      <alignment horizontal="center" vertical="center" wrapText="1"/>
    </xf>
    <xf numFmtId="0" fontId="6" fillId="3" borderId="15" xfId="0" applyFont="1" applyFill="1" applyBorder="1" applyAlignment="1" applyProtection="1">
      <alignment vertical="center"/>
    </xf>
    <xf numFmtId="0" fontId="8" fillId="3" borderId="0" xfId="0" applyFont="1" applyFill="1" applyAlignment="1" applyProtection="1">
      <alignment horizontal="center" vertical="center" wrapText="1"/>
    </xf>
    <xf numFmtId="0" fontId="10" fillId="3" borderId="0" xfId="0" applyFont="1" applyFill="1" applyAlignment="1" applyProtection="1">
      <alignment horizontal="center" vertical="center" wrapText="1"/>
    </xf>
    <xf numFmtId="0" fontId="8" fillId="3" borderId="0" xfId="0" applyFont="1" applyFill="1" applyAlignment="1" applyProtection="1">
      <alignment vertical="center" wrapText="1"/>
    </xf>
    <xf numFmtId="0" fontId="8" fillId="3" borderId="0" xfId="0" applyFont="1" applyFill="1" applyAlignment="1" applyProtection="1">
      <alignment vertical="center"/>
    </xf>
    <xf numFmtId="0" fontId="20" fillId="3" borderId="30" xfId="0" applyFont="1" applyFill="1" applyBorder="1" applyAlignment="1" applyProtection="1">
      <alignment horizontal="center" vertical="center" wrapText="1"/>
    </xf>
    <xf numFmtId="0" fontId="20" fillId="3" borderId="30" xfId="0" applyFont="1" applyFill="1" applyBorder="1" applyAlignment="1" applyProtection="1">
      <alignment horizontal="center" vertical="center" wrapText="1"/>
    </xf>
    <xf numFmtId="0" fontId="8" fillId="3" borderId="30" xfId="0" applyFont="1" applyFill="1" applyBorder="1" applyAlignment="1" applyProtection="1">
      <alignment vertical="center"/>
    </xf>
    <xf numFmtId="0" fontId="7" fillId="3" borderId="46" xfId="0" applyFont="1" applyFill="1" applyBorder="1" applyAlignment="1" applyProtection="1">
      <alignment horizontal="center" vertical="center" wrapText="1"/>
    </xf>
    <xf numFmtId="0" fontId="7" fillId="3" borderId="54" xfId="0" applyFont="1" applyFill="1" applyBorder="1" applyAlignment="1" applyProtection="1">
      <alignment horizontal="center" vertical="center" wrapText="1"/>
    </xf>
    <xf numFmtId="0" fontId="7" fillId="3" borderId="55" xfId="0" applyFont="1" applyFill="1" applyBorder="1" applyAlignment="1" applyProtection="1">
      <alignment horizontal="center" vertical="center" wrapText="1"/>
    </xf>
    <xf numFmtId="0" fontId="7" fillId="11" borderId="46" xfId="0" applyFont="1" applyFill="1" applyBorder="1" applyAlignment="1" applyProtection="1">
      <alignment horizontal="center" vertical="center"/>
    </xf>
    <xf numFmtId="0" fontId="8" fillId="5" borderId="33" xfId="0" applyFont="1" applyFill="1" applyBorder="1" applyAlignment="1" applyProtection="1">
      <alignment horizontal="center" vertical="center" wrapText="1"/>
    </xf>
    <xf numFmtId="0" fontId="8" fillId="5" borderId="27" xfId="0" applyFont="1" applyFill="1" applyBorder="1" applyAlignment="1" applyProtection="1">
      <alignment horizontal="center" vertical="center" wrapText="1"/>
    </xf>
    <xf numFmtId="0" fontId="8" fillId="5" borderId="10" xfId="0" applyFont="1" applyFill="1" applyBorder="1" applyAlignment="1" applyProtection="1">
      <alignment horizontal="center" vertical="center" wrapText="1"/>
    </xf>
    <xf numFmtId="0" fontId="8" fillId="5" borderId="47" xfId="0" applyFont="1" applyFill="1" applyBorder="1" applyAlignment="1" applyProtection="1">
      <alignment horizontal="center" vertical="center" wrapText="1"/>
    </xf>
    <xf numFmtId="0" fontId="8" fillId="5" borderId="42" xfId="0" applyFont="1" applyFill="1" applyBorder="1" applyAlignment="1" applyProtection="1">
      <alignment horizontal="center" vertical="center" wrapText="1"/>
    </xf>
    <xf numFmtId="0" fontId="8" fillId="3" borderId="46" xfId="0" applyFont="1" applyFill="1" applyBorder="1" applyAlignment="1" applyProtection="1">
      <alignment horizontal="center" vertical="center"/>
    </xf>
    <xf numFmtId="0" fontId="8" fillId="5" borderId="49" xfId="0" applyFont="1" applyFill="1" applyBorder="1" applyAlignment="1" applyProtection="1">
      <alignment horizontal="center" vertical="center" wrapText="1"/>
    </xf>
    <xf numFmtId="0" fontId="8" fillId="5" borderId="61" xfId="0" applyFont="1" applyFill="1" applyBorder="1" applyAlignment="1" applyProtection="1">
      <alignment horizontal="center" vertical="center" wrapText="1"/>
    </xf>
    <xf numFmtId="0" fontId="8" fillId="5" borderId="50" xfId="0" applyFont="1" applyFill="1" applyBorder="1" applyAlignment="1" applyProtection="1">
      <alignment horizontal="center" vertical="center" wrapText="1"/>
    </xf>
    <xf numFmtId="0" fontId="7" fillId="3" borderId="51" xfId="0" applyFont="1" applyFill="1" applyBorder="1" applyAlignment="1" applyProtection="1">
      <alignment horizontal="center" vertical="center" wrapText="1"/>
    </xf>
    <xf numFmtId="0" fontId="7" fillId="3" borderId="73" xfId="0" applyFont="1" applyFill="1" applyBorder="1" applyAlignment="1" applyProtection="1">
      <alignment horizontal="center" vertical="center" wrapText="1"/>
    </xf>
    <xf numFmtId="0" fontId="7" fillId="3" borderId="68" xfId="0" applyFont="1" applyFill="1" applyBorder="1" applyAlignment="1" applyProtection="1">
      <alignment horizontal="center" vertical="center" wrapText="1"/>
    </xf>
    <xf numFmtId="0" fontId="7" fillId="11" borderId="56" xfId="0" applyFont="1" applyFill="1" applyBorder="1" applyAlignment="1" applyProtection="1">
      <alignment horizontal="center" vertical="center"/>
    </xf>
    <xf numFmtId="0" fontId="8" fillId="5" borderId="38" xfId="0" applyFont="1" applyFill="1" applyBorder="1" applyAlignment="1" applyProtection="1">
      <alignment horizontal="center" vertical="center" wrapText="1"/>
    </xf>
    <xf numFmtId="0" fontId="8" fillId="5" borderId="41" xfId="0" applyFont="1" applyFill="1" applyBorder="1" applyAlignment="1" applyProtection="1">
      <alignment horizontal="center" vertical="center" wrapText="1"/>
    </xf>
    <xf numFmtId="0" fontId="8" fillId="5" borderId="21" xfId="0" applyFont="1" applyFill="1" applyBorder="1" applyAlignment="1" applyProtection="1">
      <alignment horizontal="center" vertical="center" wrapText="1"/>
    </xf>
    <xf numFmtId="0" fontId="8" fillId="3" borderId="51" xfId="0" applyFont="1" applyFill="1" applyBorder="1" applyAlignment="1" applyProtection="1">
      <alignment horizontal="center" vertical="center"/>
    </xf>
    <xf numFmtId="0" fontId="18" fillId="5" borderId="36" xfId="0" applyFont="1" applyFill="1" applyBorder="1" applyAlignment="1" applyProtection="1">
      <alignment horizontal="center" vertical="center" wrapText="1"/>
    </xf>
    <xf numFmtId="0" fontId="18" fillId="5" borderId="41" xfId="0" applyFont="1" applyFill="1" applyBorder="1" applyAlignment="1" applyProtection="1">
      <alignment horizontal="center" vertical="center" wrapText="1"/>
    </xf>
    <xf numFmtId="0" fontId="10" fillId="3" borderId="37" xfId="0" applyFont="1" applyFill="1" applyBorder="1" applyAlignment="1" applyProtection="1">
      <alignment horizontal="center" vertical="center"/>
    </xf>
    <xf numFmtId="0" fontId="8" fillId="3" borderId="46" xfId="0" applyFont="1" applyFill="1" applyBorder="1" applyAlignment="1" applyProtection="1">
      <alignment horizontal="left" vertical="center" wrapText="1"/>
    </xf>
    <xf numFmtId="0" fontId="10" fillId="3" borderId="54" xfId="0" applyFont="1" applyFill="1" applyBorder="1" applyAlignment="1" applyProtection="1">
      <alignment horizontal="center" vertical="center" wrapText="1"/>
    </xf>
    <xf numFmtId="0" fontId="10" fillId="3" borderId="55" xfId="0" applyFont="1" applyFill="1" applyBorder="1" applyAlignment="1" applyProtection="1">
      <alignment horizontal="center" vertical="center" wrapText="1"/>
    </xf>
    <xf numFmtId="0" fontId="10" fillId="3" borderId="46" xfId="0" applyFont="1" applyFill="1" applyBorder="1" applyAlignment="1" applyProtection="1">
      <alignment horizontal="center" vertical="center" wrapText="1"/>
    </xf>
    <xf numFmtId="0" fontId="6" fillId="11" borderId="56" xfId="0" applyFont="1" applyFill="1" applyBorder="1" applyAlignment="1" applyProtection="1">
      <alignment horizontal="left" vertical="center" wrapText="1"/>
    </xf>
    <xf numFmtId="1" fontId="6" fillId="3" borderId="33" xfId="0" applyNumberFormat="1" applyFont="1" applyFill="1" applyBorder="1" applyAlignment="1" applyProtection="1">
      <alignment horizontal="center" vertical="center"/>
    </xf>
    <xf numFmtId="0" fontId="6" fillId="3" borderId="14" xfId="0" applyFont="1" applyFill="1" applyBorder="1" applyAlignment="1" applyProtection="1">
      <alignment horizontal="center" vertical="center"/>
    </xf>
    <xf numFmtId="0" fontId="7" fillId="3" borderId="18" xfId="0" applyFont="1" applyFill="1" applyBorder="1" applyAlignment="1" applyProtection="1">
      <alignment horizontal="center" vertical="center"/>
    </xf>
    <xf numFmtId="2" fontId="10" fillId="0" borderId="58" xfId="0" applyNumberFormat="1" applyFont="1" applyBorder="1" applyAlignment="1" applyProtection="1">
      <alignment horizontal="center" vertical="center"/>
    </xf>
    <xf numFmtId="2" fontId="10" fillId="0" borderId="42" xfId="0" applyNumberFormat="1" applyFont="1" applyBorder="1" applyAlignment="1" applyProtection="1">
      <alignment horizontal="center" vertical="center"/>
    </xf>
    <xf numFmtId="2" fontId="10" fillId="3" borderId="0" xfId="0" applyNumberFormat="1" applyFont="1" applyFill="1" applyAlignment="1" applyProtection="1">
      <alignment horizontal="center" vertical="center"/>
    </xf>
    <xf numFmtId="1" fontId="7" fillId="3" borderId="18" xfId="0" applyNumberFormat="1" applyFont="1" applyFill="1" applyBorder="1" applyAlignment="1" applyProtection="1">
      <alignment horizontal="center" vertical="center"/>
    </xf>
    <xf numFmtId="0" fontId="0" fillId="0" borderId="54" xfId="0" applyBorder="1" applyAlignment="1" applyProtection="1">
      <alignment horizontal="center" vertical="center"/>
    </xf>
    <xf numFmtId="0" fontId="0" fillId="0" borderId="57" xfId="0" applyBorder="1" applyAlignment="1" applyProtection="1">
      <alignment horizontal="center" vertical="center"/>
    </xf>
    <xf numFmtId="0" fontId="0" fillId="0" borderId="55" xfId="0" applyBorder="1" applyAlignment="1" applyProtection="1">
      <alignment horizontal="center" vertical="center"/>
    </xf>
    <xf numFmtId="0" fontId="8" fillId="3" borderId="51" xfId="0" applyFont="1" applyFill="1" applyBorder="1" applyAlignment="1" applyProtection="1">
      <alignment horizontal="left" vertical="center" wrapText="1"/>
    </xf>
    <xf numFmtId="0" fontId="10" fillId="3" borderId="73" xfId="0" applyFont="1" applyFill="1" applyBorder="1" applyAlignment="1" applyProtection="1">
      <alignment horizontal="center" vertical="center" wrapText="1"/>
    </xf>
    <xf numFmtId="0" fontId="10" fillId="3" borderId="68" xfId="0" applyFont="1" applyFill="1" applyBorder="1" applyAlignment="1" applyProtection="1">
      <alignment horizontal="center" vertical="center" wrapText="1"/>
    </xf>
    <xf numFmtId="0" fontId="10" fillId="3" borderId="51" xfId="0" applyFont="1" applyFill="1" applyBorder="1" applyAlignment="1" applyProtection="1">
      <alignment horizontal="center" vertical="center" wrapText="1"/>
    </xf>
    <xf numFmtId="1" fontId="6" fillId="3" borderId="38" xfId="0" applyNumberFormat="1" applyFont="1" applyFill="1" applyBorder="1" applyAlignment="1" applyProtection="1">
      <alignment horizontal="center" vertical="center"/>
    </xf>
    <xf numFmtId="0" fontId="6" fillId="3" borderId="36" xfId="0" applyFont="1" applyFill="1" applyBorder="1" applyAlignment="1" applyProtection="1">
      <alignment horizontal="center" vertical="center"/>
    </xf>
    <xf numFmtId="0" fontId="7" fillId="3" borderId="41" xfId="0" applyFont="1" applyFill="1" applyBorder="1" applyAlignment="1" applyProtection="1">
      <alignment horizontal="center" vertical="center"/>
    </xf>
    <xf numFmtId="2" fontId="10" fillId="0" borderId="62" xfId="0" applyNumberFormat="1" applyFont="1" applyBorder="1" applyAlignment="1" applyProtection="1">
      <alignment horizontal="center" vertical="center"/>
    </xf>
    <xf numFmtId="2" fontId="10" fillId="0" borderId="36" xfId="0" applyNumberFormat="1" applyFont="1" applyBorder="1" applyAlignment="1" applyProtection="1">
      <alignment horizontal="center" vertical="center"/>
    </xf>
    <xf numFmtId="2" fontId="10" fillId="0" borderId="41" xfId="0" applyNumberFormat="1" applyFont="1" applyBorder="1" applyAlignment="1" applyProtection="1">
      <alignment horizontal="center" vertical="center"/>
    </xf>
    <xf numFmtId="1" fontId="7" fillId="3" borderId="41" xfId="0" applyNumberFormat="1" applyFont="1" applyFill="1" applyBorder="1" applyAlignment="1" applyProtection="1">
      <alignment horizontal="center" vertical="center"/>
    </xf>
    <xf numFmtId="0" fontId="0" fillId="0" borderId="73" xfId="0" applyBorder="1" applyAlignment="1" applyProtection="1">
      <alignment horizontal="center" vertical="center"/>
    </xf>
    <xf numFmtId="0" fontId="0" fillId="0" borderId="30" xfId="0" applyBorder="1" applyAlignment="1" applyProtection="1">
      <alignment horizontal="center" vertical="center"/>
    </xf>
    <xf numFmtId="0" fontId="0" fillId="0" borderId="68" xfId="0" applyBorder="1" applyAlignment="1" applyProtection="1">
      <alignment horizontal="center" vertical="center"/>
    </xf>
    <xf numFmtId="0" fontId="8" fillId="3" borderId="46" xfId="0" applyFont="1" applyFill="1" applyBorder="1" applyAlignment="1" applyProtection="1">
      <alignment horizontal="center" vertical="center" wrapText="1"/>
    </xf>
    <xf numFmtId="164" fontId="6" fillId="3" borderId="33" xfId="0" applyNumberFormat="1" applyFont="1" applyFill="1" applyBorder="1" applyAlignment="1" applyProtection="1">
      <alignment horizontal="center" vertical="center"/>
    </xf>
    <xf numFmtId="1" fontId="8" fillId="3" borderId="14" xfId="0" applyNumberFormat="1" applyFont="1" applyFill="1" applyBorder="1" applyAlignment="1" applyProtection="1">
      <alignment horizontal="center" vertical="center" wrapText="1"/>
    </xf>
    <xf numFmtId="1" fontId="10" fillId="3" borderId="46" xfId="0" applyNumberFormat="1" applyFont="1" applyFill="1" applyBorder="1" applyAlignment="1" applyProtection="1">
      <alignment horizontal="center" vertical="center" wrapText="1"/>
    </xf>
    <xf numFmtId="0" fontId="6" fillId="3" borderId="17" xfId="0" applyFont="1" applyFill="1" applyBorder="1" applyAlignment="1" applyProtection="1">
      <alignment vertical="center"/>
    </xf>
    <xf numFmtId="1" fontId="8" fillId="3" borderId="18" xfId="0" applyNumberFormat="1" applyFont="1" applyFill="1" applyBorder="1" applyAlignment="1" applyProtection="1">
      <alignment horizontal="center" vertical="center" wrapText="1"/>
    </xf>
    <xf numFmtId="2" fontId="10" fillId="0" borderId="16" xfId="0" applyNumberFormat="1" applyFont="1" applyBorder="1" applyAlignment="1" applyProtection="1">
      <alignment horizontal="center" vertical="center"/>
    </xf>
    <xf numFmtId="0" fontId="8" fillId="3" borderId="51" xfId="0" applyFont="1" applyFill="1" applyBorder="1" applyAlignment="1" applyProtection="1">
      <alignment horizontal="center" vertical="center" wrapText="1"/>
    </xf>
    <xf numFmtId="164" fontId="6" fillId="3" borderId="38" xfId="0" applyNumberFormat="1" applyFont="1" applyFill="1" applyBorder="1" applyAlignment="1" applyProtection="1">
      <alignment horizontal="center" vertical="center"/>
    </xf>
    <xf numFmtId="1" fontId="8" fillId="3" borderId="36" xfId="0" applyNumberFormat="1" applyFont="1" applyFill="1" applyBorder="1" applyAlignment="1" applyProtection="1">
      <alignment horizontal="center" vertical="center" wrapText="1"/>
    </xf>
    <xf numFmtId="1" fontId="10" fillId="3" borderId="51" xfId="0" applyNumberFormat="1" applyFont="1" applyFill="1" applyBorder="1" applyAlignment="1" applyProtection="1">
      <alignment horizontal="center" vertical="center" wrapText="1"/>
    </xf>
    <xf numFmtId="1" fontId="8" fillId="3" borderId="41" xfId="0" applyNumberFormat="1" applyFont="1" applyFill="1" applyBorder="1" applyAlignment="1" applyProtection="1">
      <alignment horizontal="center" vertical="center" wrapText="1"/>
    </xf>
    <xf numFmtId="2" fontId="10" fillId="0" borderId="38" xfId="0" applyNumberFormat="1" applyFont="1" applyBorder="1" applyAlignment="1" applyProtection="1">
      <alignment horizontal="center" vertical="center"/>
    </xf>
    <xf numFmtId="2" fontId="10" fillId="3" borderId="0" xfId="0" quotePrefix="1" applyNumberFormat="1" applyFont="1" applyFill="1" applyAlignment="1" applyProtection="1">
      <alignment horizontal="center" vertical="center"/>
    </xf>
    <xf numFmtId="0" fontId="10" fillId="3" borderId="37" xfId="0" applyFont="1" applyFill="1" applyBorder="1" applyAlignment="1" applyProtection="1">
      <alignment horizontal="center" vertical="center" wrapText="1"/>
    </xf>
    <xf numFmtId="0" fontId="21" fillId="3" borderId="0" xfId="0" applyFont="1" applyFill="1" applyAlignment="1" applyProtection="1">
      <alignment horizontal="center" vertical="center"/>
    </xf>
    <xf numFmtId="0" fontId="22" fillId="3" borderId="0" xfId="0" applyFont="1" applyFill="1" applyAlignment="1" applyProtection="1">
      <alignment vertical="center" wrapText="1"/>
    </xf>
    <xf numFmtId="0" fontId="22" fillId="3" borderId="0" xfId="0" applyFont="1" applyFill="1" applyAlignment="1" applyProtection="1">
      <alignment vertical="center"/>
    </xf>
    <xf numFmtId="0" fontId="21" fillId="3" borderId="0" xfId="0" applyFont="1" applyFill="1" applyAlignment="1" applyProtection="1">
      <alignment vertical="center" wrapText="1"/>
    </xf>
    <xf numFmtId="0" fontId="21" fillId="3" borderId="0" xfId="0" applyFont="1" applyFill="1" applyAlignment="1" applyProtection="1">
      <alignment horizontal="center" vertical="center" wrapText="1"/>
    </xf>
    <xf numFmtId="0" fontId="4" fillId="3" borderId="0" xfId="0" applyFont="1" applyFill="1" applyProtection="1"/>
    <xf numFmtId="0" fontId="13" fillId="3" borderId="8" xfId="0" applyFont="1" applyFill="1" applyBorder="1" applyAlignment="1" applyProtection="1">
      <alignment horizontal="left" wrapText="1"/>
    </xf>
    <xf numFmtId="0" fontId="0" fillId="0" borderId="8" xfId="0" applyBorder="1" applyAlignment="1" applyProtection="1">
      <alignment horizontal="center" wrapText="1"/>
    </xf>
    <xf numFmtId="0" fontId="1" fillId="3" borderId="53" xfId="0" applyFont="1" applyFill="1" applyBorder="1" applyAlignment="1" applyProtection="1">
      <alignment horizontal="center"/>
    </xf>
    <xf numFmtId="0" fontId="1" fillId="3" borderId="67" xfId="0" applyFont="1" applyFill="1" applyBorder="1" applyAlignment="1" applyProtection="1">
      <alignment horizontal="center"/>
    </xf>
    <xf numFmtId="0" fontId="1" fillId="3" borderId="85" xfId="0" applyFont="1" applyFill="1" applyBorder="1" applyAlignment="1" applyProtection="1">
      <alignment horizontal="center"/>
    </xf>
    <xf numFmtId="0" fontId="1" fillId="3" borderId="1" xfId="0" applyFont="1" applyFill="1" applyBorder="1" applyAlignment="1" applyProtection="1">
      <alignment horizontal="center"/>
    </xf>
    <xf numFmtId="0" fontId="1" fillId="3" borderId="2" xfId="0" applyFont="1" applyFill="1" applyBorder="1" applyAlignment="1" applyProtection="1">
      <alignment horizontal="center"/>
    </xf>
    <xf numFmtId="0" fontId="1" fillId="3" borderId="3" xfId="0" applyFont="1" applyFill="1" applyBorder="1" applyAlignment="1" applyProtection="1">
      <alignment horizontal="center"/>
    </xf>
    <xf numFmtId="0" fontId="1" fillId="3" borderId="4" xfId="0" applyFont="1" applyFill="1" applyBorder="1" applyAlignment="1" applyProtection="1">
      <alignment horizontal="center"/>
    </xf>
    <xf numFmtId="0" fontId="0" fillId="3" borderId="1" xfId="0" applyFill="1" applyBorder="1" applyProtection="1"/>
    <xf numFmtId="0" fontId="1" fillId="3" borderId="1" xfId="0" applyFont="1" applyFill="1" applyBorder="1" applyAlignment="1" applyProtection="1">
      <alignment horizontal="center"/>
    </xf>
    <xf numFmtId="0" fontId="3" fillId="3" borderId="1" xfId="0" applyFont="1" applyFill="1" applyBorder="1" applyAlignment="1" applyProtection="1">
      <alignment horizontal="center" wrapText="1"/>
    </xf>
    <xf numFmtId="0" fontId="1" fillId="3" borderId="1" xfId="0" applyFont="1" applyFill="1" applyBorder="1" applyAlignment="1" applyProtection="1">
      <alignment horizontal="center" wrapText="1"/>
    </xf>
    <xf numFmtId="0" fontId="1" fillId="3" borderId="11" xfId="0" applyFont="1" applyFill="1" applyBorder="1" applyAlignment="1" applyProtection="1">
      <alignment horizontal="center" wrapText="1"/>
    </xf>
    <xf numFmtId="0" fontId="1" fillId="3" borderId="12" xfId="0" applyFont="1" applyFill="1" applyBorder="1" applyAlignment="1" applyProtection="1">
      <alignment horizontal="center" wrapText="1"/>
    </xf>
    <xf numFmtId="0" fontId="1" fillId="3" borderId="13" xfId="0" applyFont="1" applyFill="1" applyBorder="1" applyAlignment="1" applyProtection="1">
      <alignment horizontal="center" wrapText="1"/>
    </xf>
    <xf numFmtId="0" fontId="1" fillId="3" borderId="1" xfId="0" applyFont="1" applyFill="1" applyBorder="1" applyAlignment="1" applyProtection="1">
      <alignment vertical="center"/>
    </xf>
    <xf numFmtId="0" fontId="0" fillId="3" borderId="1" xfId="0" applyFill="1" applyBorder="1" applyAlignment="1" applyProtection="1">
      <alignment vertical="center"/>
    </xf>
    <xf numFmtId="0" fontId="0" fillId="0" borderId="1" xfId="0" applyBorder="1" applyAlignment="1" applyProtection="1">
      <alignment wrapText="1"/>
    </xf>
    <xf numFmtId="1" fontId="2" fillId="0" borderId="1" xfId="0" applyNumberFormat="1" applyFont="1" applyBorder="1" applyAlignment="1" applyProtection="1">
      <alignment horizontal="center"/>
    </xf>
    <xf numFmtId="1" fontId="2" fillId="0" borderId="1" xfId="0" quotePrefix="1" applyNumberFormat="1" applyFont="1" applyBorder="1" applyAlignment="1" applyProtection="1">
      <alignment horizontal="center"/>
    </xf>
    <xf numFmtId="0" fontId="0" fillId="3" borderId="5" xfId="0" applyFill="1" applyBorder="1" applyProtection="1"/>
    <xf numFmtId="166" fontId="0" fillId="3" borderId="7" xfId="0" applyNumberFormat="1" applyFill="1" applyBorder="1" applyProtection="1"/>
    <xf numFmtId="168" fontId="2" fillId="0" borderId="1" xfId="0" quotePrefix="1" applyNumberFormat="1" applyFont="1" applyBorder="1" applyAlignment="1" applyProtection="1">
      <alignment horizontal="center"/>
    </xf>
    <xf numFmtId="0" fontId="0" fillId="3" borderId="1" xfId="0" applyFill="1" applyBorder="1" applyAlignment="1" applyProtection="1">
      <alignment vertical="center" wrapText="1"/>
    </xf>
    <xf numFmtId="0" fontId="1" fillId="3" borderId="0" xfId="0" applyFont="1" applyFill="1" applyAlignment="1" applyProtection="1">
      <alignment vertical="center"/>
    </xf>
    <xf numFmtId="0" fontId="14" fillId="3" borderId="0" xfId="0" applyFont="1" applyFill="1" applyAlignment="1" applyProtection="1">
      <alignment wrapText="1"/>
    </xf>
    <xf numFmtId="0" fontId="0" fillId="3" borderId="0" xfId="0" quotePrefix="1" applyFill="1" applyAlignment="1" applyProtection="1">
      <alignment horizontal="center"/>
    </xf>
    <xf numFmtId="0" fontId="0" fillId="3" borderId="7" xfId="0" applyFill="1" applyBorder="1" applyAlignment="1" applyProtection="1">
      <alignment wrapText="1"/>
    </xf>
    <xf numFmtId="0" fontId="0" fillId="3" borderId="6" xfId="0" applyFill="1" applyBorder="1" applyProtection="1"/>
    <xf numFmtId="0" fontId="0" fillId="3" borderId="8" xfId="0" applyFill="1" applyBorder="1" applyProtection="1"/>
    <xf numFmtId="166" fontId="0" fillId="3" borderId="9" xfId="0" applyNumberFormat="1" applyFill="1" applyBorder="1" applyProtection="1"/>
    <xf numFmtId="0" fontId="0" fillId="3" borderId="0" xfId="0" applyFill="1" applyAlignment="1" applyProtection="1">
      <alignment vertical="center"/>
    </xf>
    <xf numFmtId="0" fontId="1" fillId="3" borderId="53" xfId="0" applyFont="1" applyFill="1" applyBorder="1" applyAlignment="1" applyProtection="1">
      <alignment horizontal="center" vertical="center"/>
    </xf>
    <xf numFmtId="0" fontId="1" fillId="3" borderId="67" xfId="0" applyFont="1" applyFill="1" applyBorder="1" applyAlignment="1" applyProtection="1">
      <alignment horizontal="center" vertical="center"/>
    </xf>
    <xf numFmtId="0" fontId="1" fillId="3" borderId="85" xfId="0" applyFont="1" applyFill="1" applyBorder="1" applyAlignment="1" applyProtection="1">
      <alignment horizontal="center" vertical="center"/>
    </xf>
    <xf numFmtId="0" fontId="0" fillId="3" borderId="0" xfId="0" applyFill="1" applyAlignment="1" applyProtection="1">
      <alignment horizontal="left" vertical="top"/>
    </xf>
    <xf numFmtId="165" fontId="0" fillId="3" borderId="1" xfId="0" applyNumberFormat="1" applyFill="1" applyBorder="1" applyAlignment="1" applyProtection="1">
      <alignment horizontal="left" vertical="top"/>
    </xf>
    <xf numFmtId="0" fontId="0" fillId="3" borderId="1" xfId="0" applyFill="1" applyBorder="1" applyAlignment="1" applyProtection="1">
      <alignment horizontal="left" vertical="top"/>
    </xf>
    <xf numFmtId="0" fontId="0" fillId="3" borderId="1" xfId="0" applyFill="1" applyBorder="1" applyAlignment="1" applyProtection="1">
      <alignment wrapText="1"/>
    </xf>
    <xf numFmtId="0" fontId="2" fillId="0" borderId="1" xfId="0" applyFont="1" applyBorder="1" applyAlignment="1" applyProtection="1">
      <alignment horizontal="center"/>
    </xf>
    <xf numFmtId="165" fontId="0" fillId="0" borderId="1" xfId="0" applyNumberFormat="1" applyBorder="1" applyAlignment="1" applyProtection="1">
      <alignment horizontal="left" vertical="top"/>
    </xf>
    <xf numFmtId="0" fontId="0" fillId="0" borderId="1" xfId="0" applyBorder="1" applyAlignment="1" applyProtection="1">
      <alignment horizontal="left" vertical="top"/>
    </xf>
    <xf numFmtId="165" fontId="0" fillId="3" borderId="1" xfId="0" applyNumberFormat="1" applyFill="1" applyBorder="1" applyAlignment="1" applyProtection="1">
      <alignment horizontal="left" vertical="top"/>
    </xf>
    <xf numFmtId="3" fontId="2" fillId="0" borderId="1" xfId="0" applyNumberFormat="1" applyFont="1" applyBorder="1" applyAlignment="1" applyProtection="1">
      <alignment horizontal="center"/>
    </xf>
    <xf numFmtId="0" fontId="6" fillId="0" borderId="0" xfId="0" applyFont="1" applyAlignment="1" applyProtection="1">
      <alignment horizontal="center" vertical="center"/>
    </xf>
    <xf numFmtId="1" fontId="6" fillId="0" borderId="1" xfId="0" applyNumberFormat="1" applyFont="1" applyBorder="1" applyAlignment="1" applyProtection="1">
      <alignment horizontal="center"/>
    </xf>
    <xf numFmtId="164" fontId="6" fillId="0" borderId="1" xfId="0" applyNumberFormat="1" applyFont="1" applyBorder="1" applyAlignment="1" applyProtection="1">
      <alignment horizontal="center"/>
    </xf>
    <xf numFmtId="1" fontId="6" fillId="0" borderId="31" xfId="0" applyNumberFormat="1" applyFont="1" applyBorder="1" applyAlignment="1" applyProtection="1">
      <alignment horizontal="center"/>
    </xf>
    <xf numFmtId="0" fontId="3" fillId="10" borderId="10" xfId="0" applyFont="1" applyFill="1" applyBorder="1" applyAlignment="1" applyProtection="1">
      <alignment horizontal="center" vertical="center" wrapText="1"/>
    </xf>
    <xf numFmtId="0" fontId="3" fillId="10" borderId="47" xfId="0" applyFont="1" applyFill="1" applyBorder="1" applyAlignment="1" applyProtection="1">
      <alignment horizontal="center" vertical="center" wrapText="1"/>
    </xf>
    <xf numFmtId="0" fontId="3" fillId="10" borderId="42" xfId="0" applyFont="1" applyFill="1" applyBorder="1" applyAlignment="1" applyProtection="1">
      <alignment horizontal="center" vertical="center" wrapText="1"/>
    </xf>
    <xf numFmtId="0" fontId="50" fillId="17" borderId="49" xfId="0" applyFont="1" applyFill="1" applyBorder="1" applyAlignment="1" applyProtection="1">
      <alignment horizontal="center" vertical="center" wrapText="1"/>
    </xf>
    <xf numFmtId="0" fontId="50" fillId="17" borderId="61" xfId="0" applyFont="1" applyFill="1" applyBorder="1" applyAlignment="1" applyProtection="1">
      <alignment horizontal="center" vertical="center" wrapText="1"/>
    </xf>
    <xf numFmtId="0" fontId="3" fillId="10" borderId="19" xfId="0" applyFont="1" applyFill="1" applyBorder="1" applyAlignment="1" applyProtection="1">
      <alignment horizontal="center" vertical="center" wrapText="1"/>
    </xf>
    <xf numFmtId="0" fontId="3" fillId="10" borderId="1" xfId="0" applyFont="1" applyFill="1" applyBorder="1" applyAlignment="1" applyProtection="1">
      <alignment horizontal="center" vertical="center" wrapText="1"/>
    </xf>
    <xf numFmtId="0" fontId="3" fillId="10" borderId="20" xfId="0" applyFont="1" applyFill="1" applyBorder="1" applyAlignment="1" applyProtection="1">
      <alignment horizontal="center" vertical="center" wrapText="1"/>
    </xf>
    <xf numFmtId="0" fontId="3" fillId="10" borderId="65" xfId="0" applyFont="1" applyFill="1" applyBorder="1" applyAlignment="1" applyProtection="1">
      <alignment horizontal="center" vertical="center" wrapText="1"/>
    </xf>
    <xf numFmtId="0" fontId="50" fillId="17" borderId="50" xfId="0" applyFont="1" applyFill="1" applyBorder="1" applyAlignment="1" applyProtection="1">
      <alignment horizontal="center" vertical="center" wrapText="1"/>
    </xf>
    <xf numFmtId="0" fontId="6" fillId="0" borderId="0" xfId="0" applyFont="1" applyAlignment="1" applyProtection="1">
      <alignment horizontal="center" wrapText="1"/>
    </xf>
    <xf numFmtId="0" fontId="7" fillId="9" borderId="33" xfId="0" applyFont="1" applyFill="1" applyBorder="1" applyAlignment="1" applyProtection="1">
      <alignment horizontal="center" vertical="center" wrapText="1"/>
    </xf>
    <xf numFmtId="0" fontId="1" fillId="9" borderId="57" xfId="0" applyFont="1" applyFill="1" applyBorder="1" applyAlignment="1" applyProtection="1">
      <alignment horizontal="center" vertical="center" wrapText="1"/>
    </xf>
    <xf numFmtId="0" fontId="3" fillId="10" borderId="40" xfId="0" applyFont="1" applyFill="1" applyBorder="1" applyAlignment="1" applyProtection="1">
      <alignment horizontal="center" vertical="center" wrapText="1"/>
    </xf>
    <xf numFmtId="0" fontId="3" fillId="10" borderId="26" xfId="0" applyFont="1" applyFill="1" applyBorder="1" applyAlignment="1" applyProtection="1">
      <alignment horizontal="center" vertical="center" wrapText="1"/>
    </xf>
    <xf numFmtId="0" fontId="3" fillId="10" borderId="88" xfId="0" applyFont="1" applyFill="1" applyBorder="1" applyAlignment="1" applyProtection="1">
      <alignment horizontal="center" vertical="center" wrapText="1"/>
    </xf>
    <xf numFmtId="0" fontId="3" fillId="10" borderId="27" xfId="0" applyFont="1" applyFill="1" applyBorder="1" applyAlignment="1" applyProtection="1">
      <alignment horizontal="center" vertical="center" wrapText="1"/>
    </xf>
    <xf numFmtId="0" fontId="50" fillId="17" borderId="34" xfId="0" applyFont="1" applyFill="1" applyBorder="1" applyAlignment="1" applyProtection="1">
      <alignment horizontal="center" vertical="center" wrapText="1"/>
    </xf>
    <xf numFmtId="0" fontId="50" fillId="17" borderId="6" xfId="0" applyFont="1" applyFill="1" applyBorder="1" applyAlignment="1" applyProtection="1">
      <alignment horizontal="center" vertical="center" wrapText="1"/>
    </xf>
    <xf numFmtId="0" fontId="50" fillId="17" borderId="28" xfId="0" applyFont="1" applyFill="1" applyBorder="1" applyAlignment="1" applyProtection="1">
      <alignment horizontal="center" vertical="center" wrapText="1"/>
    </xf>
    <xf numFmtId="0" fontId="50" fillId="17" borderId="9" xfId="0" applyFont="1" applyFill="1" applyBorder="1" applyAlignment="1" applyProtection="1">
      <alignment horizontal="center" vertical="center" wrapText="1"/>
    </xf>
    <xf numFmtId="0" fontId="0" fillId="0" borderId="16" xfId="0" applyBorder="1" applyAlignment="1" applyProtection="1">
      <alignment horizontal="center" vertical="center" wrapText="1"/>
    </xf>
    <xf numFmtId="0" fontId="0" fillId="3" borderId="17" xfId="0" applyFill="1" applyBorder="1" applyAlignment="1" applyProtection="1">
      <alignment vertical="center" wrapText="1"/>
    </xf>
    <xf numFmtId="165" fontId="10" fillId="3" borderId="19" xfId="0" applyNumberFormat="1" applyFont="1" applyFill="1" applyBorder="1" applyAlignment="1" applyProtection="1">
      <alignment horizontal="center" vertical="center"/>
    </xf>
    <xf numFmtId="165" fontId="10" fillId="3" borderId="53" xfId="0" applyNumberFormat="1" applyFont="1" applyFill="1" applyBorder="1" applyAlignment="1" applyProtection="1">
      <alignment horizontal="center" vertical="center"/>
    </xf>
    <xf numFmtId="165" fontId="10" fillId="3" borderId="85" xfId="0" applyNumberFormat="1" applyFont="1" applyFill="1" applyBorder="1" applyAlignment="1" applyProtection="1">
      <alignment horizontal="center" vertical="center"/>
    </xf>
    <xf numFmtId="0" fontId="0" fillId="0" borderId="34" xfId="0" applyBorder="1" applyAlignment="1" applyProtection="1">
      <alignment horizontal="center" vertical="center" wrapText="1"/>
    </xf>
    <xf numFmtId="0" fontId="0" fillId="3" borderId="6" xfId="0" applyFill="1" applyBorder="1" applyAlignment="1" applyProtection="1">
      <alignment vertical="center" wrapText="1"/>
    </xf>
    <xf numFmtId="0" fontId="0" fillId="3" borderId="53" xfId="0" applyFill="1" applyBorder="1" applyAlignment="1" applyProtection="1">
      <alignment vertical="center" wrapText="1"/>
    </xf>
    <xf numFmtId="0" fontId="2" fillId="0" borderId="53" xfId="0" applyFont="1" applyBorder="1" applyAlignment="1" applyProtection="1">
      <alignment vertical="center"/>
    </xf>
    <xf numFmtId="0" fontId="2" fillId="0" borderId="2" xfId="0" applyFont="1" applyBorder="1" applyAlignment="1" applyProtection="1">
      <alignment vertical="center"/>
    </xf>
    <xf numFmtId="0" fontId="0" fillId="0" borderId="38" xfId="0" applyBorder="1" applyAlignment="1" applyProtection="1">
      <alignment horizontal="center" vertical="center" wrapText="1"/>
    </xf>
    <xf numFmtId="0" fontId="0" fillId="3" borderId="29" xfId="0" applyFill="1" applyBorder="1" applyAlignment="1" applyProtection="1">
      <alignment vertical="center" wrapText="1"/>
    </xf>
    <xf numFmtId="165" fontId="10" fillId="3" borderId="21" xfId="0" applyNumberFormat="1" applyFont="1" applyFill="1" applyBorder="1" applyAlignment="1" applyProtection="1">
      <alignment horizontal="center" vertical="center"/>
    </xf>
    <xf numFmtId="165" fontId="10" fillId="3" borderId="29" xfId="0" applyNumberFormat="1" applyFont="1" applyFill="1" applyBorder="1" applyAlignment="1" applyProtection="1">
      <alignment horizontal="center" vertical="center"/>
    </xf>
    <xf numFmtId="165" fontId="10" fillId="3" borderId="59" xfId="0" applyNumberFormat="1" applyFont="1" applyFill="1" applyBorder="1" applyAlignment="1" applyProtection="1">
      <alignment horizontal="center" vertical="center"/>
    </xf>
    <xf numFmtId="0" fontId="6" fillId="0" borderId="0" xfId="0" applyFont="1" applyAlignment="1" applyProtection="1">
      <alignment horizontal="center"/>
    </xf>
    <xf numFmtId="0" fontId="7" fillId="2" borderId="16" xfId="0" applyFont="1" applyFill="1" applyBorder="1" applyAlignment="1" applyProtection="1">
      <alignment horizontal="center" vertical="center" wrapText="1"/>
    </xf>
    <xf numFmtId="0" fontId="7" fillId="2" borderId="14" xfId="0" applyFont="1" applyFill="1" applyBorder="1" applyAlignment="1" applyProtection="1">
      <alignment horizontal="center" vertical="center" wrapText="1"/>
    </xf>
    <xf numFmtId="0" fontId="8" fillId="2" borderId="14" xfId="0" applyFont="1" applyFill="1" applyBorder="1" applyAlignment="1" applyProtection="1">
      <alignment horizontal="center" vertical="center" wrapText="1"/>
    </xf>
    <xf numFmtId="0" fontId="7" fillId="2" borderId="17" xfId="0" applyFont="1" applyFill="1" applyBorder="1" applyAlignment="1" applyProtection="1">
      <alignment horizontal="center" vertical="center" wrapText="1"/>
    </xf>
    <xf numFmtId="0" fontId="7" fillId="2" borderId="27" xfId="0" applyFont="1" applyFill="1" applyBorder="1" applyAlignment="1" applyProtection="1">
      <alignment horizontal="center" vertical="center" wrapText="1"/>
    </xf>
    <xf numFmtId="0" fontId="7" fillId="0" borderId="0" xfId="0" applyFont="1" applyAlignment="1" applyProtection="1">
      <alignment horizontal="center" vertical="center" wrapText="1"/>
    </xf>
    <xf numFmtId="0" fontId="50" fillId="17" borderId="54" xfId="0" applyFont="1" applyFill="1" applyBorder="1" applyAlignment="1" applyProtection="1">
      <alignment horizontal="center" vertical="center" wrapText="1"/>
    </xf>
    <xf numFmtId="0" fontId="50" fillId="17" borderId="57" xfId="0" applyFont="1" applyFill="1" applyBorder="1" applyAlignment="1" applyProtection="1">
      <alignment horizontal="center" vertical="center" wrapText="1"/>
    </xf>
    <xf numFmtId="0" fontId="50" fillId="17" borderId="55" xfId="0" applyFont="1" applyFill="1" applyBorder="1" applyAlignment="1" applyProtection="1">
      <alignment horizontal="center" vertical="center" wrapText="1"/>
    </xf>
    <xf numFmtId="0" fontId="7" fillId="2" borderId="19"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wrapText="1"/>
    </xf>
    <xf numFmtId="0" fontId="8" fillId="2" borderId="1" xfId="0" applyFont="1" applyFill="1" applyBorder="1" applyAlignment="1" applyProtection="1">
      <alignment horizontal="center" vertical="center" wrapText="1"/>
    </xf>
    <xf numFmtId="0" fontId="7" fillId="2" borderId="53" xfId="0" applyFont="1" applyFill="1" applyBorder="1" applyAlignment="1" applyProtection="1">
      <alignment horizontal="center" vertical="center" wrapText="1"/>
    </xf>
    <xf numFmtId="0" fontId="7" fillId="2" borderId="88" xfId="0" applyFont="1" applyFill="1" applyBorder="1" applyAlignment="1" applyProtection="1">
      <alignment horizontal="center" vertical="center" wrapText="1"/>
    </xf>
    <xf numFmtId="0" fontId="50" fillId="17" borderId="35" xfId="0" applyFont="1" applyFill="1" applyBorder="1" applyAlignment="1" applyProtection="1">
      <alignment horizontal="center" vertical="center" wrapText="1"/>
    </xf>
    <xf numFmtId="0" fontId="50" fillId="17" borderId="60" xfId="0" applyFont="1" applyFill="1" applyBorder="1" applyAlignment="1" applyProtection="1">
      <alignment horizontal="center" vertical="center" wrapText="1"/>
    </xf>
    <xf numFmtId="0" fontId="50" fillId="17" borderId="39" xfId="0" applyFont="1" applyFill="1" applyBorder="1" applyAlignment="1" applyProtection="1">
      <alignment horizontal="center" vertical="center" wrapText="1"/>
    </xf>
    <xf numFmtId="0" fontId="50" fillId="17" borderId="93" xfId="0" applyFont="1" applyFill="1" applyBorder="1" applyAlignment="1" applyProtection="1">
      <alignment horizontal="center" vertical="center" wrapText="1"/>
    </xf>
    <xf numFmtId="0" fontId="7" fillId="2" borderId="32" xfId="0" applyFont="1" applyFill="1" applyBorder="1" applyAlignment="1" applyProtection="1">
      <alignment horizontal="center" vertical="center" wrapText="1"/>
    </xf>
    <xf numFmtId="0" fontId="7" fillId="2" borderId="31" xfId="0" applyFont="1" applyFill="1" applyBorder="1" applyAlignment="1" applyProtection="1">
      <alignment horizontal="center" vertical="center" wrapText="1"/>
    </xf>
    <xf numFmtId="0" fontId="7" fillId="2" borderId="31" xfId="0" applyFont="1" applyFill="1" applyBorder="1" applyAlignment="1" applyProtection="1">
      <alignment horizontal="center" vertical="center" wrapText="1"/>
    </xf>
    <xf numFmtId="0" fontId="7" fillId="2" borderId="2" xfId="0" applyFont="1" applyFill="1" applyBorder="1" applyAlignment="1" applyProtection="1">
      <alignment horizontal="center" vertical="center" wrapText="1"/>
    </xf>
    <xf numFmtId="0" fontId="7" fillId="2" borderId="34" xfId="0" applyFont="1" applyFill="1" applyBorder="1" applyAlignment="1" applyProtection="1">
      <alignment horizontal="center" vertical="center" wrapText="1"/>
    </xf>
    <xf numFmtId="0" fontId="7" fillId="2" borderId="6" xfId="0" applyFont="1" applyFill="1" applyBorder="1" applyAlignment="1" applyProtection="1">
      <alignment horizontal="center" vertical="center" wrapText="1"/>
    </xf>
    <xf numFmtId="0" fontId="7" fillId="2" borderId="28" xfId="0" applyFont="1" applyFill="1" applyBorder="1" applyAlignment="1" applyProtection="1">
      <alignment horizontal="center" vertical="center" wrapText="1"/>
    </xf>
    <xf numFmtId="0" fontId="7" fillId="2" borderId="9" xfId="0" applyFont="1" applyFill="1" applyBorder="1" applyAlignment="1" applyProtection="1">
      <alignment horizontal="center" vertical="center" wrapText="1"/>
    </xf>
    <xf numFmtId="0" fontId="6" fillId="0" borderId="19" xfId="0" applyFont="1" applyBorder="1" applyAlignment="1" applyProtection="1">
      <alignment horizontal="center" vertical="center"/>
    </xf>
    <xf numFmtId="0" fontId="6" fillId="0" borderId="1" xfId="0" applyFont="1" applyBorder="1" applyAlignment="1" applyProtection="1">
      <alignment vertical="center"/>
    </xf>
    <xf numFmtId="0" fontId="6" fillId="0" borderId="1" xfId="0" applyFont="1" applyBorder="1" applyAlignment="1" applyProtection="1">
      <alignment horizontal="center" vertical="center"/>
    </xf>
    <xf numFmtId="0" fontId="6" fillId="7" borderId="1" xfId="0" applyFont="1" applyFill="1" applyBorder="1" applyAlignment="1" applyProtection="1">
      <alignment horizontal="center" vertical="center"/>
    </xf>
    <xf numFmtId="0" fontId="6" fillId="0" borderId="1" xfId="0" applyFont="1" applyBorder="1" applyAlignment="1" applyProtection="1">
      <alignment horizontal="center"/>
    </xf>
    <xf numFmtId="0" fontId="6" fillId="0" borderId="1" xfId="0" applyFont="1" applyBorder="1" applyProtection="1"/>
    <xf numFmtId="0" fontId="6" fillId="0" borderId="20" xfId="0" applyFont="1" applyBorder="1" applyAlignment="1" applyProtection="1">
      <alignment vertical="center" wrapText="1"/>
    </xf>
    <xf numFmtId="0" fontId="6" fillId="0" borderId="0" xfId="0" applyFont="1" applyAlignment="1" applyProtection="1">
      <alignment vertical="center" wrapText="1"/>
    </xf>
    <xf numFmtId="0" fontId="6" fillId="0" borderId="1" xfId="0" applyFont="1" applyBorder="1" applyAlignment="1" applyProtection="1">
      <alignment horizontal="left" vertical="center"/>
    </xf>
    <xf numFmtId="0" fontId="44" fillId="0" borderId="0" xfId="0" applyFont="1" applyAlignment="1" applyProtection="1">
      <alignment vertical="center"/>
    </xf>
    <xf numFmtId="4" fontId="6" fillId="0" borderId="1" xfId="0" applyNumberFormat="1" applyFont="1" applyBorder="1" applyAlignment="1" applyProtection="1">
      <alignment horizontal="center" vertical="center"/>
    </xf>
    <xf numFmtId="4" fontId="6" fillId="0" borderId="31" xfId="0" applyNumberFormat="1" applyFont="1" applyBorder="1" applyAlignment="1" applyProtection="1">
      <alignment horizontal="center" vertical="center"/>
    </xf>
    <xf numFmtId="0" fontId="6" fillId="0" borderId="21" xfId="0" applyFont="1" applyBorder="1" applyAlignment="1" applyProtection="1">
      <alignment horizontal="center" vertical="center"/>
    </xf>
    <xf numFmtId="0" fontId="6" fillId="0" borderId="15" xfId="0" applyFont="1" applyBorder="1" applyAlignment="1" applyProtection="1">
      <alignment horizontal="left" vertical="center"/>
    </xf>
    <xf numFmtId="0" fontId="6" fillId="0" borderId="15" xfId="0" applyFont="1" applyBorder="1" applyAlignment="1" applyProtection="1">
      <alignment horizontal="center" vertical="center"/>
    </xf>
    <xf numFmtId="4" fontId="6" fillId="0" borderId="15" xfId="0" applyNumberFormat="1" applyFont="1" applyBorder="1" applyAlignment="1" applyProtection="1">
      <alignment horizontal="center" vertical="center"/>
    </xf>
    <xf numFmtId="0" fontId="6" fillId="0" borderId="15" xfId="0" applyFont="1" applyBorder="1" applyAlignment="1" applyProtection="1">
      <alignment horizontal="center"/>
    </xf>
    <xf numFmtId="0" fontId="6" fillId="0" borderId="15" xfId="0" applyFont="1" applyBorder="1" applyProtection="1"/>
    <xf numFmtId="0" fontId="6" fillId="0" borderId="22" xfId="0" applyFont="1" applyBorder="1" applyAlignment="1" applyProtection="1">
      <alignment vertical="center" wrapText="1"/>
    </xf>
    <xf numFmtId="0" fontId="7" fillId="0" borderId="0" xfId="0" applyFont="1" applyAlignment="1" applyProtection="1">
      <alignment vertical="center" wrapText="1"/>
    </xf>
    <xf numFmtId="0" fontId="7" fillId="0" borderId="0" xfId="0" applyFont="1" applyAlignment="1" applyProtection="1">
      <alignment vertical="center"/>
    </xf>
    <xf numFmtId="0" fontId="7" fillId="2" borderId="33" xfId="0" applyFont="1" applyFill="1" applyBorder="1" applyAlignment="1" applyProtection="1">
      <alignment horizontal="center" vertical="center" wrapText="1"/>
    </xf>
    <xf numFmtId="0" fontId="7" fillId="2" borderId="25" xfId="0" applyFont="1" applyFill="1" applyBorder="1" applyAlignment="1" applyProtection="1">
      <alignment horizontal="center" vertical="center" wrapText="1"/>
    </xf>
    <xf numFmtId="0" fontId="8" fillId="2" borderId="33" xfId="0" applyFont="1" applyFill="1" applyBorder="1" applyAlignment="1" applyProtection="1">
      <alignment horizontal="center" vertical="center" wrapText="1"/>
    </xf>
    <xf numFmtId="0" fontId="8" fillId="2" borderId="27" xfId="0" applyFont="1" applyFill="1" applyBorder="1" applyAlignment="1" applyProtection="1">
      <alignment horizontal="center" vertical="center" wrapText="1"/>
    </xf>
    <xf numFmtId="0" fontId="7" fillId="2" borderId="40" xfId="0" applyFont="1" applyFill="1" applyBorder="1" applyAlignment="1" applyProtection="1">
      <alignment horizontal="center" vertical="center" wrapText="1"/>
    </xf>
    <xf numFmtId="0" fontId="7" fillId="2" borderId="26" xfId="0" applyFont="1" applyFill="1" applyBorder="1" applyAlignment="1" applyProtection="1">
      <alignment horizontal="center" vertical="center" wrapText="1"/>
    </xf>
    <xf numFmtId="0" fontId="8" fillId="2" borderId="6" xfId="0" applyFont="1" applyFill="1" applyBorder="1" applyAlignment="1" applyProtection="1">
      <alignment horizontal="center" vertical="center" wrapText="1"/>
    </xf>
    <xf numFmtId="0" fontId="8" fillId="2" borderId="9" xfId="0" applyFont="1" applyFill="1" applyBorder="1" applyAlignment="1" applyProtection="1">
      <alignment horizontal="center" vertical="center" wrapText="1"/>
    </xf>
    <xf numFmtId="0" fontId="8" fillId="2" borderId="40" xfId="0" applyFont="1" applyFill="1" applyBorder="1" applyAlignment="1" applyProtection="1">
      <alignment horizontal="center" vertical="center" wrapText="1"/>
    </xf>
    <xf numFmtId="0" fontId="8" fillId="2" borderId="88" xfId="0" applyFont="1" applyFill="1" applyBorder="1" applyAlignment="1" applyProtection="1">
      <alignment horizontal="center" vertical="center" wrapText="1"/>
    </xf>
    <xf numFmtId="0" fontId="7" fillId="2" borderId="34" xfId="0" applyFont="1" applyFill="1" applyBorder="1" applyAlignment="1" applyProtection="1">
      <alignment horizontal="center" vertical="center" wrapText="1"/>
    </xf>
    <xf numFmtId="0" fontId="7" fillId="2" borderId="24" xfId="0" applyFont="1" applyFill="1" applyBorder="1" applyAlignment="1" applyProtection="1">
      <alignment horizontal="center" vertical="center" wrapText="1"/>
    </xf>
    <xf numFmtId="0" fontId="8" fillId="2" borderId="6" xfId="0" applyFont="1" applyFill="1" applyBorder="1" applyAlignment="1" applyProtection="1">
      <alignment horizontal="center" vertical="center" wrapText="1"/>
    </xf>
    <xf numFmtId="0" fontId="8" fillId="2" borderId="34" xfId="0" applyFont="1" applyFill="1" applyBorder="1" applyAlignment="1" applyProtection="1">
      <alignment horizontal="center" vertical="center" wrapText="1"/>
    </xf>
    <xf numFmtId="0" fontId="8" fillId="2" borderId="28" xfId="0" applyFont="1" applyFill="1" applyBorder="1" applyAlignment="1" applyProtection="1">
      <alignment horizontal="center" vertical="center" wrapText="1"/>
    </xf>
    <xf numFmtId="0" fontId="7" fillId="2" borderId="28" xfId="0" applyFont="1" applyFill="1" applyBorder="1" applyAlignment="1" applyProtection="1">
      <alignment horizontal="center" vertical="center" wrapText="1"/>
    </xf>
    <xf numFmtId="0" fontId="6" fillId="0" borderId="20" xfId="0" applyFont="1" applyBorder="1" applyAlignment="1" applyProtection="1">
      <alignment horizontal="left"/>
    </xf>
    <xf numFmtId="165" fontId="10" fillId="3" borderId="45" xfId="0" applyNumberFormat="1" applyFont="1" applyFill="1" applyBorder="1" applyAlignment="1" applyProtection="1">
      <alignment horizontal="center" vertical="center"/>
    </xf>
    <xf numFmtId="0" fontId="6" fillId="0" borderId="0" xfId="0" applyFont="1" applyAlignment="1" applyProtection="1">
      <alignment horizontal="center" vertical="center" wrapText="1"/>
    </xf>
    <xf numFmtId="164" fontId="6" fillId="0" borderId="0" xfId="0" applyNumberFormat="1" applyFont="1" applyAlignment="1" applyProtection="1">
      <alignment horizontal="center" vertical="center"/>
    </xf>
    <xf numFmtId="0" fontId="6" fillId="0" borderId="34" xfId="0" applyFont="1" applyBorder="1" applyAlignment="1" applyProtection="1">
      <alignment horizontal="center" vertical="center"/>
    </xf>
    <xf numFmtId="0" fontId="6" fillId="0" borderId="24" xfId="0" applyFont="1" applyBorder="1" applyAlignment="1" applyProtection="1">
      <alignment horizontal="left" vertical="center"/>
    </xf>
    <xf numFmtId="0" fontId="6" fillId="0" borderId="24" xfId="0" applyFont="1" applyBorder="1" applyAlignment="1" applyProtection="1">
      <alignment horizontal="center" vertical="center"/>
    </xf>
    <xf numFmtId="0" fontId="6" fillId="7" borderId="24" xfId="0" applyFont="1" applyFill="1" applyBorder="1" applyAlignment="1" applyProtection="1">
      <alignment horizontal="center" vertical="center"/>
    </xf>
    <xf numFmtId="165" fontId="10" fillId="3" borderId="6" xfId="0" applyNumberFormat="1" applyFont="1" applyFill="1" applyBorder="1" applyAlignment="1" applyProtection="1">
      <alignment horizontal="center" vertical="center"/>
    </xf>
    <xf numFmtId="0" fontId="6" fillId="0" borderId="24" xfId="0" applyFont="1" applyBorder="1" applyAlignment="1" applyProtection="1">
      <alignment horizontal="center"/>
    </xf>
    <xf numFmtId="0" fontId="6" fillId="0" borderId="28" xfId="0" applyFont="1" applyBorder="1" applyAlignment="1" applyProtection="1">
      <alignment horizontal="left"/>
    </xf>
    <xf numFmtId="0" fontId="6" fillId="7" borderId="15" xfId="0" applyFont="1" applyFill="1" applyBorder="1" applyAlignment="1" applyProtection="1">
      <alignment horizontal="center" vertical="center"/>
    </xf>
    <xf numFmtId="0" fontId="6" fillId="0" borderId="22" xfId="0" applyFont="1" applyBorder="1" applyAlignment="1" applyProtection="1">
      <alignment horizontal="left"/>
    </xf>
    <xf numFmtId="165" fontId="10" fillId="3" borderId="44" xfId="0" applyNumberFormat="1" applyFont="1" applyFill="1" applyBorder="1" applyAlignment="1" applyProtection="1">
      <alignment horizontal="center" vertical="center"/>
    </xf>
    <xf numFmtId="0" fontId="1" fillId="0" borderId="16" xfId="0" applyFont="1" applyBorder="1" applyProtection="1"/>
    <xf numFmtId="0" fontId="1" fillId="0" borderId="18" xfId="0" applyFont="1" applyBorder="1" applyProtection="1"/>
    <xf numFmtId="0" fontId="1" fillId="0" borderId="1" xfId="0" applyFont="1" applyBorder="1" applyProtection="1"/>
    <xf numFmtId="0" fontId="0" fillId="0" borderId="1" xfId="0" applyBorder="1" applyProtection="1"/>
    <xf numFmtId="0" fontId="6" fillId="0" borderId="1" xfId="0" applyFont="1" applyBorder="1" applyAlignment="1" applyProtection="1">
      <alignment vertical="center" wrapText="1"/>
    </xf>
    <xf numFmtId="1" fontId="47" fillId="0" borderId="1" xfId="0" applyNumberFormat="1" applyFont="1" applyBorder="1" applyAlignment="1" applyProtection="1">
      <alignment horizontal="left" vertical="center" wrapText="1"/>
    </xf>
    <xf numFmtId="0" fontId="1" fillId="0" borderId="0" xfId="0" applyFont="1" applyProtection="1"/>
    <xf numFmtId="0" fontId="0" fillId="3" borderId="23" xfId="0" applyFill="1" applyBorder="1" applyAlignment="1" applyProtection="1">
      <alignment horizontal="center" vertical="center"/>
    </xf>
    <xf numFmtId="0" fontId="18" fillId="0" borderId="0" xfId="0" applyFont="1" applyAlignment="1" applyProtection="1">
      <alignment horizontal="left" vertical="center" wrapText="1"/>
    </xf>
    <xf numFmtId="0" fontId="1" fillId="0" borderId="86" xfId="0" applyFont="1" applyBorder="1" applyProtection="1"/>
    <xf numFmtId="0" fontId="0" fillId="0" borderId="87" xfId="0" applyBorder="1" applyProtection="1"/>
    <xf numFmtId="0" fontId="1" fillId="0" borderId="43" xfId="0" applyFont="1" applyBorder="1" applyProtection="1"/>
    <xf numFmtId="0" fontId="0" fillId="0" borderId="48" xfId="0" applyBorder="1" applyAlignment="1" applyProtection="1">
      <alignment vertical="center"/>
    </xf>
    <xf numFmtId="9" fontId="0" fillId="0" borderId="45" xfId="0" applyNumberFormat="1" applyBorder="1" applyProtection="1"/>
    <xf numFmtId="9" fontId="0" fillId="0" borderId="44" xfId="0" applyNumberFormat="1" applyBorder="1" applyProtection="1"/>
    <xf numFmtId="0" fontId="6" fillId="0" borderId="0" xfId="0" applyFont="1" applyAlignment="1" applyProtection="1">
      <alignment wrapText="1"/>
    </xf>
    <xf numFmtId="0" fontId="23" fillId="0" borderId="0" xfId="1" applyProtection="1"/>
    <xf numFmtId="0" fontId="1" fillId="0" borderId="46" xfId="0" applyFont="1" applyBorder="1" applyProtection="1"/>
    <xf numFmtId="0" fontId="24" fillId="0" borderId="16" xfId="1" applyFont="1" applyBorder="1" applyAlignment="1" applyProtection="1">
      <alignment vertical="center" wrapText="1"/>
    </xf>
    <xf numFmtId="0" fontId="24" fillId="0" borderId="14" xfId="1" applyFont="1" applyBorder="1" applyAlignment="1" applyProtection="1">
      <alignment horizontal="center" vertical="center" wrapText="1"/>
    </xf>
    <xf numFmtId="0" fontId="24" fillId="0" borderId="18" xfId="1" applyFont="1" applyBorder="1" applyAlignment="1" applyProtection="1">
      <alignment vertical="center" wrapText="1"/>
    </xf>
    <xf numFmtId="0" fontId="0" fillId="0" borderId="45" xfId="0" applyBorder="1" applyProtection="1"/>
    <xf numFmtId="0" fontId="24" fillId="0" borderId="21" xfId="1" applyFont="1" applyBorder="1" applyAlignment="1" applyProtection="1">
      <alignment vertical="center" wrapText="1"/>
    </xf>
    <xf numFmtId="0" fontId="24" fillId="0" borderId="15" xfId="1" applyFont="1" applyBorder="1" applyAlignment="1" applyProtection="1">
      <alignment horizontal="center" vertical="center" wrapText="1"/>
    </xf>
    <xf numFmtId="0" fontId="24" fillId="0" borderId="22" xfId="1" applyFont="1" applyBorder="1" applyAlignment="1" applyProtection="1">
      <alignment vertical="center" wrapText="1"/>
    </xf>
    <xf numFmtId="1" fontId="24" fillId="0" borderId="15" xfId="1" applyNumberFormat="1" applyFont="1" applyBorder="1" applyAlignment="1" applyProtection="1">
      <alignment horizontal="center" vertical="center" wrapText="1"/>
    </xf>
    <xf numFmtId="0" fontId="0" fillId="0" borderId="44" xfId="0" applyBorder="1" applyProtection="1"/>
    <xf numFmtId="0" fontId="24" fillId="0" borderId="0" xfId="1" applyFont="1" applyAlignment="1" applyProtection="1">
      <alignment vertical="center" wrapText="1"/>
    </xf>
    <xf numFmtId="1" fontId="24" fillId="0" borderId="0" xfId="1" applyNumberFormat="1" applyFont="1" applyAlignment="1" applyProtection="1">
      <alignment horizontal="center" vertical="center" wrapText="1"/>
    </xf>
    <xf numFmtId="0" fontId="28" fillId="0" borderId="10" xfId="1" applyFont="1" applyBorder="1" applyAlignment="1" applyProtection="1">
      <alignment horizontal="left" vertical="center" wrapText="1"/>
    </xf>
    <xf numFmtId="0" fontId="28" fillId="0" borderId="47" xfId="1" applyFont="1" applyBorder="1" applyAlignment="1" applyProtection="1">
      <alignment horizontal="left" vertical="center" wrapText="1"/>
    </xf>
    <xf numFmtId="0" fontId="28" fillId="0" borderId="42" xfId="1" applyFont="1" applyBorder="1" applyAlignment="1" applyProtection="1">
      <alignment horizontal="left" vertical="center" wrapText="1"/>
    </xf>
    <xf numFmtId="0" fontId="23" fillId="0" borderId="21" xfId="1" applyBorder="1" applyProtection="1"/>
    <xf numFmtId="3" fontId="23" fillId="0" borderId="15" xfId="1" applyNumberFormat="1" applyBorder="1" applyProtection="1"/>
    <xf numFmtId="0" fontId="23" fillId="0" borderId="22" xfId="1" applyBorder="1" applyProtection="1"/>
    <xf numFmtId="0" fontId="26" fillId="12" borderId="69" xfId="1" applyFont="1" applyFill="1" applyBorder="1" applyAlignment="1" applyProtection="1">
      <alignment horizontal="center" vertical="center" wrapText="1"/>
    </xf>
    <xf numFmtId="0" fontId="26" fillId="12" borderId="70" xfId="1" applyFont="1" applyFill="1" applyBorder="1" applyAlignment="1" applyProtection="1">
      <alignment horizontal="center" vertical="center" wrapText="1"/>
    </xf>
    <xf numFmtId="0" fontId="24" fillId="0" borderId="51" xfId="1" applyFont="1" applyBorder="1" applyAlignment="1" applyProtection="1">
      <alignment vertical="center" wrapText="1"/>
    </xf>
    <xf numFmtId="0" fontId="24" fillId="0" borderId="68" xfId="1" applyFont="1" applyBorder="1" applyAlignment="1" applyProtection="1">
      <alignment horizontal="center" vertical="center" wrapText="1"/>
    </xf>
    <xf numFmtId="0" fontId="24" fillId="0" borderId="68" xfId="1" applyFont="1" applyBorder="1" applyAlignment="1" applyProtection="1">
      <alignment vertical="center" wrapText="1"/>
    </xf>
    <xf numFmtId="0" fontId="6" fillId="0" borderId="71" xfId="0" applyFont="1" applyBorder="1" applyAlignment="1" applyProtection="1">
      <alignment horizontal="center"/>
    </xf>
    <xf numFmtId="3" fontId="24" fillId="0" borderId="68" xfId="1" applyNumberFormat="1" applyFont="1" applyBorder="1" applyAlignment="1" applyProtection="1">
      <alignment horizontal="center" vertical="center" wrapText="1"/>
    </xf>
    <xf numFmtId="37" fontId="6" fillId="0" borderId="71" xfId="2" applyNumberFormat="1" applyFont="1" applyFill="1" applyBorder="1" applyAlignment="1" applyProtection="1">
      <alignment horizontal="center" vertical="center"/>
    </xf>
    <xf numFmtId="37" fontId="6" fillId="0" borderId="51" xfId="2" applyNumberFormat="1" applyFont="1" applyFill="1" applyBorder="1" applyAlignment="1" applyProtection="1">
      <alignment horizontal="center" vertical="center"/>
    </xf>
    <xf numFmtId="0" fontId="6" fillId="0" borderId="1" xfId="0" applyFont="1" applyBorder="1" applyAlignment="1" applyProtection="1">
      <alignment wrapText="1"/>
    </xf>
    <xf numFmtId="0" fontId="1" fillId="6" borderId="71" xfId="0" applyFont="1" applyFill="1" applyBorder="1" applyAlignment="1" applyProtection="1">
      <alignment horizontal="center" vertical="center" wrapText="1"/>
    </xf>
    <xf numFmtId="0" fontId="1" fillId="6" borderId="39" xfId="0" applyFont="1" applyFill="1" applyBorder="1" applyAlignment="1" applyProtection="1">
      <alignment horizontal="center" vertical="center" wrapText="1"/>
    </xf>
    <xf numFmtId="0" fontId="1" fillId="6" borderId="52" xfId="0" applyFont="1" applyFill="1" applyBorder="1" applyAlignment="1" applyProtection="1">
      <alignment horizontal="left" wrapText="1"/>
    </xf>
    <xf numFmtId="0" fontId="0" fillId="3" borderId="34" xfId="0" applyFill="1" applyBorder="1" applyAlignment="1" applyProtection="1">
      <alignment horizontal="center"/>
    </xf>
    <xf numFmtId="164" fontId="0" fillId="3" borderId="24" xfId="0" applyNumberFormat="1" applyFill="1" applyBorder="1" applyAlignment="1" applyProtection="1">
      <alignment horizontal="center"/>
    </xf>
    <xf numFmtId="0" fontId="0" fillId="3" borderId="28" xfId="0" applyFill="1" applyBorder="1" applyProtection="1"/>
    <xf numFmtId="0" fontId="0" fillId="3" borderId="52" xfId="0" applyFill="1" applyBorder="1" applyAlignment="1" applyProtection="1">
      <alignment horizontal="center"/>
    </xf>
    <xf numFmtId="0" fontId="0" fillId="3" borderId="1" xfId="0" applyFill="1" applyBorder="1" applyAlignment="1" applyProtection="1">
      <alignment horizontal="center"/>
    </xf>
    <xf numFmtId="0" fontId="0" fillId="3" borderId="20" xfId="0" applyFill="1" applyBorder="1" applyProtection="1"/>
    <xf numFmtId="3" fontId="0" fillId="0" borderId="19" xfId="0" applyNumberFormat="1" applyBorder="1" applyAlignment="1" applyProtection="1">
      <alignment horizontal="center" vertical="center"/>
    </xf>
    <xf numFmtId="1" fontId="0" fillId="3" borderId="1" xfId="0" applyNumberFormat="1" applyFill="1" applyBorder="1" applyAlignment="1" applyProtection="1">
      <alignment horizontal="center"/>
    </xf>
    <xf numFmtId="0" fontId="0" fillId="3" borderId="19" xfId="0" applyFill="1" applyBorder="1" applyAlignment="1" applyProtection="1">
      <alignment horizontal="center"/>
    </xf>
    <xf numFmtId="0" fontId="1" fillId="6" borderId="63" xfId="0" applyFont="1" applyFill="1" applyBorder="1" applyAlignment="1" applyProtection="1">
      <alignment horizontal="left" wrapText="1"/>
    </xf>
    <xf numFmtId="0" fontId="0" fillId="3" borderId="21" xfId="0" applyFill="1" applyBorder="1" applyAlignment="1" applyProtection="1">
      <alignment horizontal="center"/>
    </xf>
    <xf numFmtId="0" fontId="0" fillId="3" borderId="15" xfId="0" applyFill="1" applyBorder="1" applyAlignment="1" applyProtection="1">
      <alignment horizontal="center"/>
    </xf>
    <xf numFmtId="0" fontId="0" fillId="3" borderId="22" xfId="0" applyFill="1" applyBorder="1" applyProtection="1"/>
    <xf numFmtId="0" fontId="0" fillId="3" borderId="57" xfId="0" applyFill="1" applyBorder="1" applyAlignment="1" applyProtection="1">
      <alignment horizontal="left" vertical="top" wrapText="1"/>
    </xf>
    <xf numFmtId="0" fontId="0" fillId="3" borderId="0" xfId="0" applyFill="1" applyAlignment="1" applyProtection="1">
      <alignment horizontal="left" vertical="top" wrapText="1"/>
    </xf>
    <xf numFmtId="0" fontId="0" fillId="3" borderId="0" xfId="0" applyFill="1" applyAlignment="1" applyProtection="1">
      <alignment horizontal="left" vertical="top" wrapText="1"/>
    </xf>
    <xf numFmtId="0" fontId="1" fillId="3" borderId="0" xfId="0" applyFont="1" applyFill="1" applyProtection="1"/>
    <xf numFmtId="0" fontId="16" fillId="3" borderId="0" xfId="0" applyFont="1" applyFill="1" applyProtection="1"/>
    <xf numFmtId="0" fontId="0" fillId="3" borderId="0" xfId="0" applyFill="1" applyAlignment="1" applyProtection="1">
      <alignment horizontal="left" wrapText="1"/>
    </xf>
  </cellXfs>
  <cellStyles count="4">
    <cellStyle name="Comma" xfId="2" builtinId="3"/>
    <cellStyle name="Normal" xfId="0" builtinId="0"/>
    <cellStyle name="Normal 2" xfId="1" xr:uid="{BC27F4E2-20B8-47A4-9D90-F2F490171813}"/>
    <cellStyle name="Normal 2 2" xfId="3" xr:uid="{032F9737-D54D-4C22-ACD1-58CE29448DAE}"/>
  </cellStyles>
  <dxfs count="1121">
    <dxf>
      <font>
        <color theme="0"/>
      </font>
    </dxf>
    <dxf>
      <fill>
        <patternFill>
          <bgColor theme="0"/>
        </patternFill>
      </fill>
    </dxf>
    <dxf>
      <numFmt numFmtId="166" formatCode="0.0E+00"/>
    </dxf>
    <dxf>
      <numFmt numFmtId="4" formatCode="#,##0.00"/>
    </dxf>
    <dxf>
      <numFmt numFmtId="168" formatCode="#,##0.0"/>
    </dxf>
    <dxf>
      <numFmt numFmtId="3" formatCode="#,##0"/>
    </dxf>
    <dxf>
      <numFmt numFmtId="166" formatCode="0.0E+00"/>
    </dxf>
    <dxf>
      <font>
        <b/>
        <i val="0"/>
      </font>
      <fill>
        <patternFill>
          <bgColor theme="0" tint="-0.14996795556505021"/>
        </patternFill>
      </fill>
    </dxf>
    <dxf>
      <font>
        <color theme="0"/>
      </font>
    </dxf>
    <dxf>
      <fill>
        <patternFill>
          <bgColor theme="0"/>
        </patternFill>
      </fill>
    </dxf>
    <dxf>
      <numFmt numFmtId="166" formatCode="0.0E+00"/>
    </dxf>
    <dxf>
      <numFmt numFmtId="4" formatCode="#,##0.00"/>
    </dxf>
    <dxf>
      <numFmt numFmtId="168" formatCode="#,##0.0"/>
    </dxf>
    <dxf>
      <numFmt numFmtId="3" formatCode="#,##0"/>
    </dxf>
    <dxf>
      <numFmt numFmtId="166" formatCode="0.0E+00"/>
    </dxf>
    <dxf>
      <fill>
        <patternFill>
          <bgColor theme="0"/>
        </patternFill>
      </fill>
    </dxf>
    <dxf>
      <font>
        <color theme="0"/>
      </font>
    </dxf>
    <dxf>
      <numFmt numFmtId="166" formatCode="0.0E+00"/>
    </dxf>
    <dxf>
      <numFmt numFmtId="4" formatCode="#,##0.00"/>
    </dxf>
    <dxf>
      <numFmt numFmtId="168" formatCode="#,##0.0"/>
    </dxf>
    <dxf>
      <numFmt numFmtId="3" formatCode="#,##0"/>
    </dxf>
    <dxf>
      <numFmt numFmtId="166" formatCode="0.0E+00"/>
    </dxf>
    <dxf>
      <font>
        <b/>
        <i val="0"/>
      </font>
      <fill>
        <patternFill>
          <bgColor theme="0" tint="-0.14996795556505021"/>
        </patternFill>
      </fill>
    </dxf>
    <dxf>
      <numFmt numFmtId="2" formatCode="0.00"/>
    </dxf>
    <dxf>
      <numFmt numFmtId="166" formatCode="0.0E+00"/>
    </dxf>
    <dxf>
      <numFmt numFmtId="2" formatCode="0.00"/>
    </dxf>
    <dxf>
      <numFmt numFmtId="166" formatCode="0.0E+00"/>
    </dxf>
    <dxf>
      <numFmt numFmtId="166" formatCode="0.0E+00"/>
    </dxf>
    <dxf>
      <numFmt numFmtId="3" formatCode="#,##0"/>
    </dxf>
    <dxf>
      <numFmt numFmtId="164" formatCode="0.0"/>
    </dxf>
    <dxf>
      <numFmt numFmtId="168" formatCode="#,##0.0"/>
    </dxf>
    <dxf>
      <numFmt numFmtId="166" formatCode="0.0E+00"/>
    </dxf>
    <dxf>
      <font>
        <color theme="0"/>
      </font>
    </dxf>
    <dxf>
      <fill>
        <patternFill>
          <bgColor theme="0"/>
        </patternFill>
      </fill>
    </dxf>
    <dxf>
      <numFmt numFmtId="166" formatCode="0.0E+00"/>
    </dxf>
    <dxf>
      <numFmt numFmtId="4" formatCode="#,##0.00"/>
    </dxf>
    <dxf>
      <numFmt numFmtId="3" formatCode="#,##0"/>
    </dxf>
    <dxf>
      <numFmt numFmtId="4" formatCode="#,##0.00"/>
    </dxf>
    <dxf>
      <numFmt numFmtId="165" formatCode="0.000"/>
    </dxf>
    <dxf>
      <numFmt numFmtId="15" formatCode="0.00E+00"/>
    </dxf>
    <dxf>
      <numFmt numFmtId="3" formatCode="#,##0"/>
    </dxf>
    <dxf>
      <numFmt numFmtId="168" formatCode="#,##0.0"/>
    </dxf>
    <dxf>
      <numFmt numFmtId="166" formatCode="0.0E+00"/>
    </dxf>
    <dxf>
      <numFmt numFmtId="166" formatCode="0.0E+00"/>
    </dxf>
    <dxf>
      <numFmt numFmtId="3" formatCode="#,##0"/>
    </dxf>
    <dxf>
      <numFmt numFmtId="164" formatCode="0.0"/>
    </dxf>
    <dxf>
      <numFmt numFmtId="2" formatCode="0.00"/>
    </dxf>
    <dxf>
      <font>
        <color theme="0"/>
      </font>
    </dxf>
    <dxf>
      <numFmt numFmtId="4" formatCode="#,##0.00"/>
    </dxf>
    <dxf>
      <numFmt numFmtId="3" formatCode="#,##0"/>
    </dxf>
    <dxf>
      <numFmt numFmtId="166" formatCode="0.0E+00"/>
    </dxf>
    <dxf>
      <fill>
        <patternFill>
          <bgColor theme="0"/>
        </patternFill>
      </fill>
    </dxf>
    <dxf>
      <numFmt numFmtId="166" formatCode="0.0E+00"/>
    </dxf>
    <dxf>
      <font>
        <color theme="0"/>
      </font>
    </dxf>
    <dxf>
      <numFmt numFmtId="164" formatCode="0.0"/>
    </dxf>
    <dxf>
      <numFmt numFmtId="166" formatCode="0.0E+00"/>
    </dxf>
    <dxf>
      <font>
        <color theme="0"/>
      </font>
    </dxf>
    <dxf>
      <fill>
        <patternFill>
          <bgColor theme="0"/>
        </patternFill>
      </fill>
    </dxf>
    <dxf>
      <numFmt numFmtId="166" formatCode="0.0E+00"/>
    </dxf>
    <dxf>
      <numFmt numFmtId="4" formatCode="#,##0.00"/>
    </dxf>
    <dxf>
      <numFmt numFmtId="168" formatCode="#,##0.0"/>
    </dxf>
    <dxf>
      <numFmt numFmtId="3" formatCode="#,##0"/>
    </dxf>
    <dxf>
      <numFmt numFmtId="166" formatCode="0.0E+00"/>
    </dxf>
    <dxf>
      <font>
        <b/>
        <i val="0"/>
      </font>
      <fill>
        <patternFill>
          <bgColor theme="0" tint="-0.14996795556505021"/>
        </patternFill>
      </fill>
    </dxf>
    <dxf>
      <font>
        <color theme="0"/>
      </font>
    </dxf>
    <dxf>
      <fill>
        <patternFill>
          <bgColor theme="0"/>
        </patternFill>
      </fill>
    </dxf>
    <dxf>
      <numFmt numFmtId="166" formatCode="0.0E+00"/>
    </dxf>
    <dxf>
      <numFmt numFmtId="4" formatCode="#,##0.00"/>
    </dxf>
    <dxf>
      <numFmt numFmtId="168" formatCode="#,##0.0"/>
    </dxf>
    <dxf>
      <numFmt numFmtId="3" formatCode="#,##0"/>
    </dxf>
    <dxf>
      <numFmt numFmtId="166" formatCode="0.0E+00"/>
    </dxf>
    <dxf>
      <fill>
        <patternFill>
          <bgColor theme="5"/>
        </patternFill>
      </fill>
    </dxf>
    <dxf>
      <fill>
        <patternFill>
          <bgColor theme="0"/>
        </patternFill>
      </fill>
    </dxf>
    <dxf>
      <numFmt numFmtId="3" formatCode="#,##0"/>
    </dxf>
    <dxf>
      <numFmt numFmtId="168" formatCode="#,##0.0"/>
    </dxf>
    <dxf>
      <numFmt numFmtId="4" formatCode="#,##0.00"/>
    </dxf>
    <dxf>
      <numFmt numFmtId="166" formatCode="0.0E+00"/>
    </dxf>
    <dxf>
      <numFmt numFmtId="166" formatCode="0.0E+00"/>
    </dxf>
    <dxf>
      <fill>
        <patternFill>
          <bgColor rgb="FF00B050"/>
        </patternFill>
      </fill>
    </dxf>
    <dxf>
      <numFmt numFmtId="164" formatCode="0.0"/>
    </dxf>
    <dxf>
      <numFmt numFmtId="2" formatCode="0.00"/>
    </dxf>
    <dxf>
      <numFmt numFmtId="168" formatCode="#,##0.0"/>
    </dxf>
    <dxf>
      <font>
        <color theme="0"/>
      </font>
    </dxf>
    <dxf>
      <fill>
        <patternFill>
          <bgColor theme="0"/>
        </patternFill>
      </fill>
    </dxf>
    <dxf>
      <numFmt numFmtId="166" formatCode="0.0E+00"/>
    </dxf>
    <dxf>
      <numFmt numFmtId="4" formatCode="#,##0.00"/>
    </dxf>
    <dxf>
      <numFmt numFmtId="3" formatCode="#,##0"/>
    </dxf>
    <dxf>
      <numFmt numFmtId="166" formatCode="0.0E+00"/>
    </dxf>
    <dxf>
      <numFmt numFmtId="15" formatCode="0.00E+00"/>
    </dxf>
    <dxf>
      <numFmt numFmtId="166" formatCode="0.0E+00"/>
    </dxf>
    <dxf>
      <numFmt numFmtId="168" formatCode="#,##0.0"/>
    </dxf>
    <dxf>
      <fill>
        <patternFill>
          <bgColor theme="5"/>
        </patternFill>
      </fill>
    </dxf>
    <dxf>
      <fill>
        <patternFill>
          <bgColor theme="5"/>
        </patternFill>
      </fill>
    </dxf>
    <dxf>
      <fill>
        <patternFill>
          <bgColor rgb="FF00B050"/>
        </patternFill>
      </fill>
    </dxf>
    <dxf>
      <fill>
        <patternFill>
          <bgColor theme="0"/>
        </patternFill>
      </fill>
    </dxf>
    <dxf>
      <numFmt numFmtId="3" formatCode="#,##0"/>
    </dxf>
    <dxf>
      <numFmt numFmtId="168" formatCode="#,##0.0"/>
    </dxf>
    <dxf>
      <numFmt numFmtId="169" formatCode="#,##0.000"/>
    </dxf>
    <dxf>
      <numFmt numFmtId="15" formatCode="0.00E+00"/>
    </dxf>
    <dxf>
      <fill>
        <patternFill>
          <bgColor rgb="FF00B050"/>
        </patternFill>
      </fill>
    </dxf>
    <dxf>
      <fill>
        <patternFill>
          <bgColor theme="5"/>
        </patternFill>
      </fill>
    </dxf>
    <dxf>
      <numFmt numFmtId="166" formatCode="0.0E+00"/>
    </dxf>
    <dxf>
      <numFmt numFmtId="3" formatCode="#,##0"/>
    </dxf>
    <dxf>
      <numFmt numFmtId="168" formatCode="#,##0.0"/>
    </dxf>
    <dxf>
      <numFmt numFmtId="4" formatCode="#,##0.00"/>
    </dxf>
    <dxf>
      <numFmt numFmtId="166" formatCode="0.0E+00"/>
    </dxf>
    <dxf>
      <fill>
        <patternFill>
          <bgColor theme="0"/>
        </patternFill>
      </fill>
    </dxf>
    <dxf>
      <fill>
        <patternFill>
          <bgColor rgb="FF00B050"/>
        </patternFill>
      </fill>
    </dxf>
    <dxf>
      <fill>
        <patternFill>
          <bgColor theme="5"/>
        </patternFill>
      </fill>
    </dxf>
    <dxf>
      <font>
        <color theme="0"/>
      </font>
    </dxf>
    <dxf>
      <fill>
        <patternFill>
          <bgColor theme="0"/>
        </patternFill>
      </fill>
    </dxf>
    <dxf>
      <numFmt numFmtId="166" formatCode="0.0E+00"/>
    </dxf>
    <dxf>
      <numFmt numFmtId="4" formatCode="#,##0.00"/>
    </dxf>
    <dxf>
      <numFmt numFmtId="3" formatCode="#,##0"/>
    </dxf>
    <dxf>
      <numFmt numFmtId="166" formatCode="0.0E+00"/>
    </dxf>
    <dxf>
      <numFmt numFmtId="168" formatCode="#,##0.0"/>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numFmt numFmtId="166" formatCode="0.0E+00"/>
    </dxf>
    <dxf>
      <numFmt numFmtId="168" formatCode="#,##0.0"/>
    </dxf>
    <dxf>
      <numFmt numFmtId="4" formatCode="#,##0.00"/>
    </dxf>
    <dxf>
      <numFmt numFmtId="166" formatCode="0.0E+00"/>
    </dxf>
    <dxf>
      <numFmt numFmtId="3" formatCode="#,##0"/>
    </dxf>
    <dxf>
      <numFmt numFmtId="3" formatCode="#,##0"/>
    </dxf>
    <dxf>
      <numFmt numFmtId="166" formatCode="0.0E+00"/>
    </dxf>
    <dxf>
      <numFmt numFmtId="4" formatCode="#,##0.00"/>
    </dxf>
    <dxf>
      <numFmt numFmtId="166" formatCode="0.0E+00"/>
    </dxf>
    <dxf>
      <numFmt numFmtId="168" formatCode="#,##0.0"/>
    </dxf>
    <dxf>
      <font>
        <b/>
        <i val="0"/>
      </font>
      <fill>
        <patternFill>
          <bgColor theme="0" tint="-0.24994659260841701"/>
        </patternFill>
      </fill>
    </dxf>
    <dxf>
      <numFmt numFmtId="3" formatCode="#,##0"/>
    </dxf>
    <dxf>
      <numFmt numFmtId="166" formatCode="0.0E+00"/>
    </dxf>
    <dxf>
      <font>
        <b/>
        <i val="0"/>
      </font>
      <fill>
        <patternFill>
          <bgColor theme="0" tint="-0.24994659260841701"/>
        </patternFill>
      </fill>
    </dxf>
    <dxf>
      <numFmt numFmtId="166" formatCode="0.0E+00"/>
    </dxf>
    <dxf>
      <numFmt numFmtId="4" formatCode="#,##0.00"/>
    </dxf>
    <dxf>
      <numFmt numFmtId="168" formatCode="#,##0.0"/>
    </dxf>
    <dxf>
      <numFmt numFmtId="4" formatCode="#,##0.00"/>
    </dxf>
    <dxf>
      <numFmt numFmtId="168" formatCode="#,##0.0"/>
    </dxf>
    <dxf>
      <numFmt numFmtId="3" formatCode="#,##0"/>
    </dxf>
    <dxf>
      <font>
        <b/>
        <i val="0"/>
      </font>
      <fill>
        <patternFill>
          <bgColor theme="0" tint="-0.24994659260841701"/>
        </patternFill>
      </fill>
    </dxf>
    <dxf>
      <numFmt numFmtId="166" formatCode="0.0E+00"/>
    </dxf>
    <dxf>
      <numFmt numFmtId="166" formatCode="0.0E+00"/>
    </dxf>
    <dxf>
      <font>
        <b/>
        <i val="0"/>
      </font>
      <fill>
        <patternFill>
          <bgColor theme="0" tint="-0.24994659260841701"/>
        </patternFill>
      </fill>
    </dxf>
    <dxf>
      <numFmt numFmtId="3" formatCode="#,##0"/>
    </dxf>
    <dxf>
      <numFmt numFmtId="168" formatCode="#,##0.0"/>
    </dxf>
    <dxf>
      <numFmt numFmtId="4" formatCode="#,##0.00"/>
    </dxf>
    <dxf>
      <numFmt numFmtId="166" formatCode="0.0E+00"/>
    </dxf>
    <dxf>
      <numFmt numFmtId="166" formatCode="0.0E+00"/>
    </dxf>
    <dxf>
      <numFmt numFmtId="4" formatCode="#,##0.00"/>
    </dxf>
    <dxf>
      <font>
        <b/>
        <i val="0"/>
      </font>
      <fill>
        <patternFill>
          <bgColor theme="0" tint="-0.24994659260841701"/>
        </patternFill>
      </fill>
    </dxf>
    <dxf>
      <numFmt numFmtId="166" formatCode="0.0E+00"/>
    </dxf>
    <dxf>
      <numFmt numFmtId="168" formatCode="#,##0.0"/>
    </dxf>
    <dxf>
      <numFmt numFmtId="166" formatCode="0.0E+00"/>
    </dxf>
    <dxf>
      <numFmt numFmtId="3" formatCode="#,##0"/>
    </dxf>
    <dxf>
      <font>
        <b/>
        <i val="0"/>
      </font>
      <fill>
        <patternFill>
          <bgColor theme="0" tint="-0.24994659260841701"/>
        </patternFill>
      </fill>
    </dxf>
    <dxf>
      <numFmt numFmtId="166" formatCode="0.0E+00"/>
    </dxf>
    <dxf>
      <numFmt numFmtId="3" formatCode="#,##0"/>
    </dxf>
    <dxf>
      <numFmt numFmtId="4" formatCode="#,##0.00"/>
    </dxf>
    <dxf>
      <numFmt numFmtId="168" formatCode="#,##0.0"/>
    </dxf>
    <dxf>
      <numFmt numFmtId="166" formatCode="0.0E+00"/>
    </dxf>
    <dxf>
      <font>
        <b/>
        <i val="0"/>
      </font>
      <fill>
        <patternFill>
          <bgColor theme="0" tint="-0.24994659260841701"/>
        </patternFill>
      </fill>
    </dxf>
    <dxf>
      <numFmt numFmtId="166" formatCode="0.0E+00"/>
    </dxf>
    <dxf>
      <numFmt numFmtId="3" formatCode="#,##0"/>
    </dxf>
    <dxf>
      <numFmt numFmtId="4" formatCode="#,##0.00"/>
    </dxf>
    <dxf>
      <numFmt numFmtId="166" formatCode="0.0E+00"/>
    </dxf>
    <dxf>
      <numFmt numFmtId="168" formatCode="#,##0.0"/>
    </dxf>
    <dxf>
      <numFmt numFmtId="4" formatCode="#,##0.00"/>
    </dxf>
    <dxf>
      <numFmt numFmtId="168" formatCode="#,##0.0"/>
    </dxf>
    <dxf>
      <numFmt numFmtId="3" formatCode="#,##0"/>
    </dxf>
    <dxf>
      <numFmt numFmtId="166" formatCode="0.0E+00"/>
    </dxf>
    <dxf>
      <font>
        <b/>
        <i val="0"/>
      </font>
      <fill>
        <patternFill>
          <bgColor theme="0" tint="-0.24994659260841701"/>
        </patternFill>
      </fill>
    </dxf>
    <dxf>
      <numFmt numFmtId="166" formatCode="0.0E+00"/>
    </dxf>
    <dxf>
      <font>
        <b/>
        <i val="0"/>
      </font>
      <fill>
        <patternFill>
          <bgColor theme="0" tint="-0.24994659260841701"/>
        </patternFill>
      </fill>
    </dxf>
    <dxf>
      <numFmt numFmtId="166" formatCode="0.0E+00"/>
    </dxf>
    <dxf>
      <numFmt numFmtId="3" formatCode="#,##0"/>
    </dxf>
    <dxf>
      <numFmt numFmtId="168" formatCode="#,##0.0"/>
    </dxf>
    <dxf>
      <numFmt numFmtId="4" formatCode="#,##0.00"/>
    </dxf>
    <dxf>
      <numFmt numFmtId="166" formatCode="0.0E+00"/>
    </dxf>
    <dxf>
      <numFmt numFmtId="166" formatCode="0.0E+00"/>
    </dxf>
    <dxf>
      <font>
        <b/>
        <i val="0"/>
      </font>
      <fill>
        <patternFill>
          <bgColor theme="0" tint="-0.24994659260841701"/>
        </patternFill>
      </fill>
    </dxf>
    <dxf>
      <numFmt numFmtId="3" formatCode="#,##0"/>
    </dxf>
    <dxf>
      <numFmt numFmtId="4" formatCode="#,##0.00"/>
    </dxf>
    <dxf>
      <numFmt numFmtId="168" formatCode="#,##0.0"/>
    </dxf>
    <dxf>
      <numFmt numFmtId="166" formatCode="0.0E+00"/>
    </dxf>
    <dxf>
      <numFmt numFmtId="168" formatCode="#,##0.0"/>
    </dxf>
    <dxf>
      <numFmt numFmtId="166" formatCode="0.0E+00"/>
    </dxf>
    <dxf>
      <numFmt numFmtId="4" formatCode="#,##0.00"/>
    </dxf>
    <dxf>
      <font>
        <b/>
        <i val="0"/>
      </font>
      <fill>
        <patternFill>
          <bgColor theme="0" tint="-0.24994659260841701"/>
        </patternFill>
      </fill>
    </dxf>
    <dxf>
      <numFmt numFmtId="166" formatCode="0.0E+00"/>
    </dxf>
    <dxf>
      <numFmt numFmtId="3" formatCode="#,##0"/>
    </dxf>
    <dxf>
      <numFmt numFmtId="3" formatCode="#,##0"/>
    </dxf>
    <dxf>
      <numFmt numFmtId="166" formatCode="0.0E+00"/>
    </dxf>
    <dxf>
      <font>
        <b/>
        <i val="0"/>
      </font>
      <fill>
        <patternFill>
          <bgColor theme="0" tint="-0.24994659260841701"/>
        </patternFill>
      </fill>
    </dxf>
    <dxf>
      <numFmt numFmtId="166" formatCode="0.0E+00"/>
    </dxf>
    <dxf>
      <numFmt numFmtId="4" formatCode="#,##0.00"/>
    </dxf>
    <dxf>
      <numFmt numFmtId="168" formatCode="#,##0.0"/>
    </dxf>
    <dxf>
      <numFmt numFmtId="166" formatCode="0.0E+00"/>
    </dxf>
    <dxf>
      <numFmt numFmtId="4" formatCode="#,##0.00"/>
    </dxf>
    <dxf>
      <numFmt numFmtId="168" formatCode="#,##0.0"/>
    </dxf>
    <dxf>
      <numFmt numFmtId="3" formatCode="#,##0"/>
    </dxf>
    <dxf>
      <font>
        <b/>
        <i val="0"/>
      </font>
      <fill>
        <patternFill>
          <bgColor theme="0" tint="-0.24994659260841701"/>
        </patternFill>
      </fill>
    </dxf>
    <dxf>
      <numFmt numFmtId="166" formatCode="0.0E+00"/>
    </dxf>
    <dxf>
      <numFmt numFmtId="166" formatCode="0.0E+00"/>
    </dxf>
    <dxf>
      <font>
        <b/>
        <i val="0"/>
      </font>
      <fill>
        <patternFill>
          <bgColor theme="0" tint="-0.24994659260841701"/>
        </patternFill>
      </fill>
    </dxf>
    <dxf>
      <numFmt numFmtId="166" formatCode="0.0E+00"/>
    </dxf>
    <dxf>
      <numFmt numFmtId="4" formatCode="#,##0.00"/>
    </dxf>
    <dxf>
      <numFmt numFmtId="168" formatCode="#,##0.0"/>
    </dxf>
    <dxf>
      <numFmt numFmtId="3" formatCode="#,##0"/>
    </dxf>
    <dxf>
      <numFmt numFmtId="168" formatCode="#,##0.0"/>
    </dxf>
    <dxf>
      <numFmt numFmtId="3" formatCode="#,##0"/>
    </dxf>
    <dxf>
      <font>
        <b/>
        <i val="0"/>
      </font>
      <fill>
        <patternFill>
          <bgColor theme="0" tint="-0.24994659260841701"/>
        </patternFill>
      </fill>
    </dxf>
    <dxf>
      <numFmt numFmtId="166" formatCode="0.0E+00"/>
    </dxf>
    <dxf>
      <numFmt numFmtId="166" formatCode="0.0E+00"/>
    </dxf>
    <dxf>
      <numFmt numFmtId="4" formatCode="#,##0.00"/>
    </dxf>
    <dxf>
      <numFmt numFmtId="4" formatCode="#,##0.00"/>
    </dxf>
    <dxf>
      <numFmt numFmtId="166" formatCode="0.0E+00"/>
    </dxf>
    <dxf>
      <numFmt numFmtId="3" formatCode="#,##0"/>
    </dxf>
    <dxf>
      <numFmt numFmtId="166" formatCode="0.0E+00"/>
    </dxf>
    <dxf>
      <font>
        <b/>
        <i val="0"/>
      </font>
      <fill>
        <patternFill>
          <bgColor theme="0" tint="-0.24994659260841701"/>
        </patternFill>
      </fill>
    </dxf>
    <dxf>
      <numFmt numFmtId="168" formatCode="#,##0.0"/>
    </dxf>
    <dxf>
      <numFmt numFmtId="166" formatCode="0.0E+00"/>
    </dxf>
    <dxf>
      <font>
        <b/>
        <i val="0"/>
      </font>
      <fill>
        <patternFill>
          <bgColor theme="0" tint="-0.24994659260841701"/>
        </patternFill>
      </fill>
    </dxf>
    <dxf>
      <numFmt numFmtId="166" formatCode="0.0E+00"/>
    </dxf>
    <dxf>
      <numFmt numFmtId="4" formatCode="#,##0.00"/>
    </dxf>
    <dxf>
      <numFmt numFmtId="168" formatCode="#,##0.0"/>
    </dxf>
    <dxf>
      <numFmt numFmtId="3" formatCode="#,##0"/>
    </dxf>
    <dxf>
      <numFmt numFmtId="166" formatCode="0.0E+00"/>
    </dxf>
    <dxf>
      <font>
        <b/>
        <i val="0"/>
      </font>
      <fill>
        <patternFill>
          <bgColor theme="0" tint="-0.24994659260841701"/>
        </patternFill>
      </fill>
    </dxf>
    <dxf>
      <numFmt numFmtId="3" formatCode="#,##0"/>
    </dxf>
    <dxf>
      <numFmt numFmtId="168" formatCode="#,##0.0"/>
    </dxf>
    <dxf>
      <numFmt numFmtId="4" formatCode="#,##0.00"/>
    </dxf>
    <dxf>
      <numFmt numFmtId="166" formatCode="0.0E+00"/>
    </dxf>
    <dxf>
      <numFmt numFmtId="4" formatCode="#,##0.00"/>
    </dxf>
    <dxf>
      <numFmt numFmtId="166" formatCode="0.0E+00"/>
    </dxf>
    <dxf>
      <numFmt numFmtId="3" formatCode="#,##0"/>
    </dxf>
    <dxf>
      <font>
        <b/>
        <i val="0"/>
      </font>
      <fill>
        <patternFill>
          <bgColor theme="0" tint="-0.24994659260841701"/>
        </patternFill>
      </fill>
    </dxf>
    <dxf>
      <numFmt numFmtId="166" formatCode="0.0E+00"/>
    </dxf>
    <dxf>
      <numFmt numFmtId="168" formatCode="#,##0.0"/>
    </dxf>
    <dxf>
      <numFmt numFmtId="4" formatCode="#,##0.00"/>
    </dxf>
    <dxf>
      <numFmt numFmtId="166" formatCode="0.0E+00"/>
    </dxf>
    <dxf>
      <numFmt numFmtId="3" formatCode="#,##0"/>
    </dxf>
    <dxf>
      <numFmt numFmtId="168" formatCode="#,##0.0"/>
    </dxf>
    <dxf>
      <numFmt numFmtId="166" formatCode="0.0E+00"/>
    </dxf>
    <dxf>
      <font>
        <b/>
        <i val="0"/>
      </font>
      <fill>
        <patternFill>
          <bgColor theme="0" tint="-0.24994659260841701"/>
        </patternFill>
      </fill>
    </dxf>
    <dxf>
      <font>
        <b/>
        <i val="0"/>
      </font>
      <fill>
        <patternFill>
          <bgColor theme="0" tint="-0.24994659260841701"/>
        </patternFill>
      </fill>
    </dxf>
    <dxf>
      <numFmt numFmtId="4" formatCode="#,##0.00"/>
    </dxf>
    <dxf>
      <numFmt numFmtId="168" formatCode="#,##0.0"/>
    </dxf>
    <dxf>
      <numFmt numFmtId="3" formatCode="#,##0"/>
    </dxf>
    <dxf>
      <numFmt numFmtId="166" formatCode="0.0E+00"/>
    </dxf>
    <dxf>
      <numFmt numFmtId="166" formatCode="0.0E+00"/>
    </dxf>
    <dxf>
      <font>
        <b/>
        <i val="0"/>
      </font>
      <fill>
        <patternFill>
          <bgColor theme="0" tint="-0.24994659260841701"/>
        </patternFill>
      </fill>
    </dxf>
    <dxf>
      <font>
        <b/>
        <i val="0"/>
      </font>
      <fill>
        <patternFill>
          <bgColor theme="0" tint="-0.24994659260841701"/>
        </patternFill>
      </fill>
    </dxf>
    <dxf>
      <numFmt numFmtId="166" formatCode="0.0E+00"/>
    </dxf>
    <dxf>
      <numFmt numFmtId="3" formatCode="#,##0"/>
    </dxf>
    <dxf>
      <numFmt numFmtId="168" formatCode="#,##0.0"/>
    </dxf>
    <dxf>
      <numFmt numFmtId="4" formatCode="#,##0.00"/>
    </dxf>
    <dxf>
      <numFmt numFmtId="166" formatCode="0.0E+00"/>
    </dxf>
    <dxf>
      <font>
        <b/>
        <i val="0"/>
      </font>
      <fill>
        <patternFill>
          <bgColor theme="0" tint="-0.24994659260841701"/>
        </patternFill>
      </fill>
    </dxf>
    <dxf>
      <numFmt numFmtId="168" formatCode="#,##0.0"/>
    </dxf>
    <dxf>
      <numFmt numFmtId="3" formatCode="#,##0"/>
    </dxf>
    <dxf>
      <numFmt numFmtId="166" formatCode="0.0E+00"/>
    </dxf>
    <dxf>
      <font>
        <b/>
        <i val="0"/>
      </font>
      <fill>
        <patternFill>
          <bgColor theme="0" tint="-0.24994659260841701"/>
        </patternFill>
      </fill>
    </dxf>
    <dxf>
      <numFmt numFmtId="166" formatCode="0.0E+00"/>
    </dxf>
    <dxf>
      <numFmt numFmtId="4" formatCode="#,##0.00"/>
    </dxf>
    <dxf>
      <numFmt numFmtId="3" formatCode="#,##0"/>
    </dxf>
    <dxf>
      <numFmt numFmtId="168" formatCode="#,##0.0"/>
    </dxf>
    <dxf>
      <numFmt numFmtId="4" formatCode="#,##0.00"/>
    </dxf>
    <dxf>
      <numFmt numFmtId="166" formatCode="0.0E+00"/>
    </dxf>
    <dxf>
      <font>
        <b/>
        <i val="0"/>
      </font>
      <fill>
        <patternFill>
          <bgColor theme="0" tint="-0.24994659260841701"/>
        </patternFill>
      </fill>
    </dxf>
    <dxf>
      <numFmt numFmtId="166" formatCode="0.0E+00"/>
    </dxf>
    <dxf>
      <font>
        <b/>
        <i val="0"/>
      </font>
      <fill>
        <patternFill>
          <bgColor theme="0" tint="-0.24994659260841701"/>
        </patternFill>
      </fill>
    </dxf>
    <dxf>
      <numFmt numFmtId="3" formatCode="#,##0"/>
    </dxf>
    <dxf>
      <numFmt numFmtId="166" formatCode="0.0E+00"/>
    </dxf>
    <dxf>
      <numFmt numFmtId="166" formatCode="0.0E+00"/>
    </dxf>
    <dxf>
      <numFmt numFmtId="4" formatCode="#,##0.00"/>
    </dxf>
    <dxf>
      <numFmt numFmtId="168" formatCode="#,##0.0"/>
    </dxf>
    <dxf>
      <numFmt numFmtId="3" formatCode="#,##0"/>
    </dxf>
    <dxf>
      <font>
        <b/>
        <i val="0"/>
      </font>
      <fill>
        <patternFill>
          <bgColor theme="0" tint="-0.24994659260841701"/>
        </patternFill>
      </fill>
    </dxf>
    <dxf>
      <numFmt numFmtId="4" formatCode="#,##0.00"/>
    </dxf>
    <dxf>
      <numFmt numFmtId="166" formatCode="0.0E+00"/>
    </dxf>
    <dxf>
      <numFmt numFmtId="166" formatCode="0.0E+00"/>
    </dxf>
    <dxf>
      <numFmt numFmtId="168" formatCode="#,##0.0"/>
    </dxf>
    <dxf>
      <numFmt numFmtId="168" formatCode="#,##0.0"/>
    </dxf>
    <dxf>
      <font>
        <b/>
        <i val="0"/>
      </font>
      <fill>
        <patternFill>
          <bgColor theme="0" tint="-0.24994659260841701"/>
        </patternFill>
      </fill>
    </dxf>
    <dxf>
      <numFmt numFmtId="166" formatCode="0.0E+00"/>
    </dxf>
    <dxf>
      <numFmt numFmtId="166" formatCode="0.0E+00"/>
    </dxf>
    <dxf>
      <numFmt numFmtId="4" formatCode="#,##0.00"/>
    </dxf>
    <dxf>
      <numFmt numFmtId="3" formatCode="#,##0"/>
    </dxf>
    <dxf>
      <font>
        <b/>
        <i val="0"/>
      </font>
      <fill>
        <patternFill>
          <bgColor theme="0" tint="-0.24994659260841701"/>
        </patternFill>
      </fill>
    </dxf>
    <dxf>
      <numFmt numFmtId="3" formatCode="#,##0"/>
    </dxf>
    <dxf>
      <numFmt numFmtId="168" formatCode="#,##0.0"/>
    </dxf>
    <dxf>
      <numFmt numFmtId="4" formatCode="#,##0.00"/>
    </dxf>
    <dxf>
      <numFmt numFmtId="166" formatCode="0.0E+00"/>
    </dxf>
    <dxf>
      <numFmt numFmtId="166" formatCode="0.0E+00"/>
    </dxf>
    <dxf>
      <font>
        <b/>
        <i val="0"/>
      </font>
      <fill>
        <patternFill>
          <bgColor theme="0" tint="-0.24994659260841701"/>
        </patternFill>
      </fill>
    </dxf>
    <dxf>
      <numFmt numFmtId="166" formatCode="0.0E+00"/>
    </dxf>
    <dxf>
      <numFmt numFmtId="3" formatCode="#,##0"/>
    </dxf>
    <dxf>
      <numFmt numFmtId="168" formatCode="#,##0.0"/>
    </dxf>
    <dxf>
      <numFmt numFmtId="4" formatCode="#,##0.00"/>
    </dxf>
    <dxf>
      <numFmt numFmtId="166" formatCode="0.0E+00"/>
    </dxf>
    <dxf>
      <font>
        <b/>
        <i val="0"/>
      </font>
      <fill>
        <patternFill>
          <bgColor theme="0" tint="-0.24994659260841701"/>
        </patternFill>
      </fill>
    </dxf>
    <dxf>
      <numFmt numFmtId="166" formatCode="0.0E+00"/>
    </dxf>
    <dxf>
      <numFmt numFmtId="3" formatCode="#,##0"/>
    </dxf>
    <dxf>
      <numFmt numFmtId="168" formatCode="#,##0.0"/>
    </dxf>
    <dxf>
      <numFmt numFmtId="4" formatCode="#,##0.00"/>
    </dxf>
    <dxf>
      <numFmt numFmtId="166" formatCode="0.0E+00"/>
    </dxf>
    <dxf>
      <font>
        <b/>
        <i val="0"/>
      </font>
      <fill>
        <patternFill>
          <bgColor theme="0" tint="-0.24994659260841701"/>
        </patternFill>
      </fill>
    </dxf>
    <dxf>
      <numFmt numFmtId="166" formatCode="0.0E+00"/>
    </dxf>
    <dxf>
      <numFmt numFmtId="3" formatCode="#,##0"/>
    </dxf>
    <dxf>
      <numFmt numFmtId="168" formatCode="#,##0.0"/>
    </dxf>
    <dxf>
      <numFmt numFmtId="4" formatCode="#,##0.00"/>
    </dxf>
    <dxf>
      <numFmt numFmtId="166" formatCode="0.0E+00"/>
    </dxf>
    <dxf>
      <font>
        <b/>
        <i val="0"/>
      </font>
      <fill>
        <patternFill>
          <bgColor theme="0" tint="-0.24994659260841701"/>
        </patternFill>
      </fill>
    </dxf>
    <dxf>
      <font>
        <b/>
        <i val="0"/>
      </font>
      <fill>
        <patternFill>
          <bgColor theme="0" tint="-0.24994659260841701"/>
        </patternFill>
      </fill>
    </dxf>
    <dxf>
      <numFmt numFmtId="166" formatCode="0.0E+00"/>
    </dxf>
    <dxf>
      <numFmt numFmtId="3" formatCode="#,##0"/>
    </dxf>
    <dxf>
      <numFmt numFmtId="168" formatCode="#,##0.0"/>
    </dxf>
    <dxf>
      <numFmt numFmtId="4" formatCode="#,##0.00"/>
    </dxf>
    <dxf>
      <numFmt numFmtId="166" formatCode="0.0E+00"/>
    </dxf>
    <dxf>
      <font>
        <b/>
        <i val="0"/>
      </font>
      <fill>
        <patternFill>
          <bgColor theme="0" tint="-0.24994659260841701"/>
        </patternFill>
      </fill>
    </dxf>
    <dxf>
      <font>
        <b/>
        <i val="0"/>
      </font>
      <fill>
        <patternFill>
          <bgColor theme="0" tint="-0.24994659260841701"/>
        </patternFill>
      </fill>
    </dxf>
    <dxf>
      <numFmt numFmtId="4" formatCode="#,##0.00"/>
    </dxf>
    <dxf>
      <numFmt numFmtId="166" formatCode="0.0E+00"/>
    </dxf>
    <dxf>
      <numFmt numFmtId="3" formatCode="#,##0"/>
    </dxf>
    <dxf>
      <numFmt numFmtId="168" formatCode="#,##0.0"/>
    </dxf>
    <dxf>
      <numFmt numFmtId="166" formatCode="0.0E+00"/>
    </dxf>
    <dxf>
      <numFmt numFmtId="166" formatCode="0.0E+00"/>
    </dxf>
    <dxf>
      <numFmt numFmtId="168" formatCode="#,##0.0"/>
    </dxf>
    <dxf>
      <numFmt numFmtId="3" formatCode="#,##0"/>
    </dxf>
    <dxf>
      <numFmt numFmtId="166" formatCode="0.0E+00"/>
    </dxf>
    <dxf>
      <numFmt numFmtId="4" formatCode="#,##0.00"/>
    </dxf>
    <dxf>
      <font>
        <b/>
        <i val="0"/>
      </font>
      <fill>
        <patternFill>
          <bgColor theme="0" tint="-0.24994659260841701"/>
        </patternFill>
      </fill>
    </dxf>
    <dxf>
      <numFmt numFmtId="3" formatCode="#,##0"/>
    </dxf>
    <dxf>
      <numFmt numFmtId="166" formatCode="0.0E+00"/>
    </dxf>
    <dxf>
      <font>
        <b/>
        <i val="0"/>
      </font>
      <fill>
        <patternFill>
          <bgColor theme="0" tint="-0.24994659260841701"/>
        </patternFill>
      </fill>
    </dxf>
    <dxf>
      <numFmt numFmtId="166" formatCode="0.0E+00"/>
    </dxf>
    <dxf>
      <numFmt numFmtId="4" formatCode="#,##0.00"/>
    </dxf>
    <dxf>
      <numFmt numFmtId="168" formatCode="#,##0.0"/>
    </dxf>
    <dxf>
      <numFmt numFmtId="166" formatCode="0.0E+00"/>
    </dxf>
    <dxf>
      <font>
        <b/>
        <i val="0"/>
      </font>
      <fill>
        <patternFill>
          <bgColor theme="0" tint="-0.24994659260841701"/>
        </patternFill>
      </fill>
    </dxf>
    <dxf>
      <numFmt numFmtId="166" formatCode="0.0E+00"/>
    </dxf>
    <dxf>
      <numFmt numFmtId="4" formatCode="#,##0.00"/>
    </dxf>
    <dxf>
      <numFmt numFmtId="168" formatCode="#,##0.0"/>
    </dxf>
    <dxf>
      <numFmt numFmtId="3" formatCode="#,##0"/>
    </dxf>
    <dxf>
      <numFmt numFmtId="166" formatCode="0.0E+00"/>
    </dxf>
    <dxf>
      <numFmt numFmtId="4" formatCode="#,##0.00"/>
    </dxf>
    <dxf>
      <numFmt numFmtId="168" formatCode="#,##0.0"/>
    </dxf>
    <dxf>
      <numFmt numFmtId="3" formatCode="#,##0"/>
    </dxf>
    <dxf>
      <numFmt numFmtId="166" formatCode="0.0E+00"/>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numFmt numFmtId="166" formatCode="0.0E+00"/>
    </dxf>
    <dxf>
      <numFmt numFmtId="3" formatCode="#,##0"/>
    </dxf>
    <dxf>
      <numFmt numFmtId="168" formatCode="#,##0.0"/>
    </dxf>
    <dxf>
      <numFmt numFmtId="4" formatCode="#,##0.00"/>
    </dxf>
    <dxf>
      <numFmt numFmtId="166" formatCode="0.0E+00"/>
    </dxf>
    <dxf>
      <font>
        <b/>
        <i val="0"/>
      </font>
      <fill>
        <patternFill>
          <bgColor theme="0" tint="-0.24994659260841701"/>
        </patternFill>
      </fill>
    </dxf>
    <dxf>
      <numFmt numFmtId="166" formatCode="0.0E+00"/>
    </dxf>
    <dxf>
      <numFmt numFmtId="3" formatCode="#,##0"/>
    </dxf>
    <dxf>
      <font>
        <b/>
        <i val="0"/>
      </font>
      <fill>
        <patternFill>
          <bgColor theme="0" tint="-0.24994659260841701"/>
        </patternFill>
      </fill>
    </dxf>
    <dxf>
      <numFmt numFmtId="166" formatCode="0.0E+00"/>
    </dxf>
    <dxf>
      <numFmt numFmtId="168" formatCode="#,##0.0"/>
    </dxf>
    <dxf>
      <numFmt numFmtId="4" formatCode="#,##0.00"/>
    </dxf>
    <dxf>
      <font>
        <b/>
        <i val="0"/>
      </font>
      <fill>
        <patternFill>
          <bgColor theme="0" tint="-0.24994659260841701"/>
        </patternFill>
      </fill>
    </dxf>
    <dxf>
      <numFmt numFmtId="168" formatCode="#,##0.0"/>
    </dxf>
    <dxf>
      <numFmt numFmtId="166" formatCode="0.0E+00"/>
    </dxf>
    <dxf>
      <numFmt numFmtId="3" formatCode="#,##0"/>
    </dxf>
    <dxf>
      <numFmt numFmtId="4" formatCode="#,##0.00"/>
    </dxf>
    <dxf>
      <numFmt numFmtId="166" formatCode="0.0E+00"/>
    </dxf>
    <dxf>
      <numFmt numFmtId="166" formatCode="0.0E+00"/>
    </dxf>
    <dxf>
      <numFmt numFmtId="3" formatCode="#,##0"/>
    </dxf>
    <dxf>
      <font>
        <b/>
        <i val="0"/>
      </font>
      <fill>
        <patternFill>
          <bgColor theme="0" tint="-0.24994659260841701"/>
        </patternFill>
      </fill>
    </dxf>
    <dxf>
      <numFmt numFmtId="168" formatCode="#,##0.0"/>
    </dxf>
    <dxf>
      <numFmt numFmtId="4" formatCode="#,##0.00"/>
    </dxf>
    <dxf>
      <numFmt numFmtId="166" formatCode="0.0E+00"/>
    </dxf>
    <dxf>
      <numFmt numFmtId="4" formatCode="#,##0.00"/>
    </dxf>
    <dxf>
      <numFmt numFmtId="166" formatCode="0.0E+00"/>
    </dxf>
    <dxf>
      <numFmt numFmtId="166" formatCode="0.0E+00"/>
    </dxf>
    <dxf>
      <numFmt numFmtId="168" formatCode="#,##0.0"/>
    </dxf>
    <dxf>
      <font>
        <b/>
        <i val="0"/>
      </font>
      <fill>
        <patternFill>
          <bgColor theme="0" tint="-0.24994659260841701"/>
        </patternFill>
      </fill>
    </dxf>
    <dxf>
      <numFmt numFmtId="3" formatCode="#,##0"/>
    </dxf>
    <dxf>
      <numFmt numFmtId="166" formatCode="0.0E+00"/>
    </dxf>
    <dxf>
      <numFmt numFmtId="4" formatCode="#,##0.00"/>
    </dxf>
    <dxf>
      <numFmt numFmtId="168" formatCode="#,##0.0"/>
    </dxf>
    <dxf>
      <numFmt numFmtId="3" formatCode="#,##0"/>
    </dxf>
    <dxf>
      <numFmt numFmtId="166" formatCode="0.0E+00"/>
    </dxf>
    <dxf>
      <font>
        <b/>
        <i val="0"/>
      </font>
      <fill>
        <patternFill>
          <bgColor theme="0" tint="-0.24994659260841701"/>
        </patternFill>
      </fill>
    </dxf>
    <dxf>
      <numFmt numFmtId="166" formatCode="0.0E+00"/>
    </dxf>
    <dxf>
      <numFmt numFmtId="3" formatCode="#,##0"/>
    </dxf>
    <dxf>
      <numFmt numFmtId="168" formatCode="#,##0.0"/>
    </dxf>
    <dxf>
      <numFmt numFmtId="4" formatCode="#,##0.00"/>
    </dxf>
    <dxf>
      <numFmt numFmtId="166" formatCode="0.0E+00"/>
    </dxf>
    <dxf>
      <font>
        <b/>
        <i val="0"/>
      </font>
      <fill>
        <patternFill>
          <bgColor theme="0" tint="-0.24994659260841701"/>
        </patternFill>
      </fill>
    </dxf>
    <dxf>
      <numFmt numFmtId="166" formatCode="0.0E+00"/>
    </dxf>
    <dxf>
      <font>
        <b/>
        <i val="0"/>
      </font>
      <fill>
        <patternFill>
          <bgColor theme="0" tint="-0.24994659260841701"/>
        </patternFill>
      </fill>
    </dxf>
    <dxf>
      <numFmt numFmtId="166" formatCode="0.0E+00"/>
    </dxf>
    <dxf>
      <numFmt numFmtId="3" formatCode="#,##0"/>
    </dxf>
    <dxf>
      <numFmt numFmtId="168" formatCode="#,##0.0"/>
    </dxf>
    <dxf>
      <numFmt numFmtId="4" formatCode="#,##0.00"/>
    </dxf>
    <dxf>
      <font>
        <b/>
        <i val="0"/>
      </font>
      <fill>
        <patternFill>
          <bgColor theme="0" tint="-0.24994659260841701"/>
        </patternFill>
      </fill>
    </dxf>
    <dxf>
      <numFmt numFmtId="4" formatCode="#,##0.00"/>
    </dxf>
    <dxf>
      <numFmt numFmtId="166" formatCode="0.0E+00"/>
    </dxf>
    <dxf>
      <numFmt numFmtId="3" formatCode="#,##0"/>
    </dxf>
    <dxf>
      <numFmt numFmtId="168" formatCode="#,##0.0"/>
    </dxf>
    <dxf>
      <numFmt numFmtId="166" formatCode="0.0E+00"/>
    </dxf>
    <dxf>
      <font>
        <b/>
        <i val="0"/>
      </font>
      <fill>
        <patternFill>
          <bgColor theme="0" tint="-0.24994659260841701"/>
        </patternFill>
      </fill>
    </dxf>
    <dxf>
      <numFmt numFmtId="3" formatCode="#,##0"/>
    </dxf>
    <dxf>
      <numFmt numFmtId="168" formatCode="#,##0.0"/>
    </dxf>
    <dxf>
      <numFmt numFmtId="4" formatCode="#,##0.00"/>
    </dxf>
    <dxf>
      <numFmt numFmtId="166" formatCode="0.0E+00"/>
    </dxf>
    <dxf>
      <numFmt numFmtId="166" formatCode="0.0E+00"/>
    </dxf>
    <dxf>
      <numFmt numFmtId="166" formatCode="0.0E+00"/>
    </dxf>
    <dxf>
      <numFmt numFmtId="4" formatCode="#,##0.00"/>
    </dxf>
    <dxf>
      <numFmt numFmtId="168" formatCode="#,##0.0"/>
    </dxf>
    <dxf>
      <numFmt numFmtId="166" formatCode="0.0E+00"/>
    </dxf>
    <dxf>
      <font>
        <b/>
        <i val="0"/>
      </font>
      <fill>
        <patternFill>
          <bgColor theme="0" tint="-0.24994659260841701"/>
        </patternFill>
      </fill>
    </dxf>
    <dxf>
      <numFmt numFmtId="3" formatCode="#,##0"/>
    </dxf>
    <dxf>
      <font>
        <b/>
        <i val="0"/>
      </font>
      <fill>
        <patternFill>
          <bgColor theme="0" tint="-0.24994659260841701"/>
        </patternFill>
      </fill>
    </dxf>
    <dxf>
      <numFmt numFmtId="166" formatCode="0.0E+00"/>
    </dxf>
    <dxf>
      <numFmt numFmtId="4" formatCode="#,##0.00"/>
    </dxf>
    <dxf>
      <numFmt numFmtId="168" formatCode="#,##0.0"/>
    </dxf>
    <dxf>
      <numFmt numFmtId="3" formatCode="#,##0"/>
    </dxf>
    <dxf>
      <numFmt numFmtId="166" formatCode="0.0E+00"/>
    </dxf>
    <dxf>
      <font>
        <b/>
        <i val="0"/>
      </font>
      <fill>
        <patternFill>
          <bgColor theme="0" tint="-0.24994659260841701"/>
        </patternFill>
      </fill>
    </dxf>
    <dxf>
      <numFmt numFmtId="166" formatCode="0.0E+00"/>
    </dxf>
    <dxf>
      <font>
        <b/>
        <i val="0"/>
      </font>
      <fill>
        <patternFill>
          <bgColor theme="0" tint="-0.24994659260841701"/>
        </patternFill>
      </fill>
    </dxf>
    <dxf>
      <numFmt numFmtId="3" formatCode="#,##0"/>
    </dxf>
    <dxf>
      <numFmt numFmtId="4" formatCode="#,##0.00"/>
    </dxf>
    <dxf>
      <numFmt numFmtId="166" formatCode="0.0E+00"/>
    </dxf>
    <dxf>
      <numFmt numFmtId="168" formatCode="#,##0.0"/>
    </dxf>
    <dxf>
      <font>
        <b/>
        <i val="0"/>
      </font>
      <fill>
        <patternFill>
          <bgColor theme="0" tint="-0.24994659260841701"/>
        </patternFill>
      </fill>
    </dxf>
    <dxf>
      <numFmt numFmtId="166" formatCode="0.0E+00"/>
    </dxf>
    <dxf>
      <numFmt numFmtId="168" formatCode="#,##0.0"/>
    </dxf>
    <dxf>
      <numFmt numFmtId="4" formatCode="#,##0.00"/>
    </dxf>
    <dxf>
      <numFmt numFmtId="166" formatCode="0.0E+00"/>
    </dxf>
    <dxf>
      <numFmt numFmtId="3" formatCode="#,##0"/>
    </dxf>
    <dxf>
      <font>
        <b/>
        <i val="0"/>
      </font>
      <fill>
        <patternFill>
          <bgColor theme="0" tint="-0.24994659260841701"/>
        </patternFill>
      </fill>
    </dxf>
    <dxf>
      <numFmt numFmtId="166" formatCode="0.0E+00"/>
    </dxf>
    <dxf>
      <numFmt numFmtId="4" formatCode="#,##0.00"/>
    </dxf>
    <dxf>
      <numFmt numFmtId="168" formatCode="#,##0.0"/>
    </dxf>
    <dxf>
      <numFmt numFmtId="3" formatCode="#,##0"/>
    </dxf>
    <dxf>
      <numFmt numFmtId="166" formatCode="0.0E+00"/>
    </dxf>
    <dxf>
      <font>
        <b/>
        <i val="0"/>
      </font>
      <fill>
        <patternFill>
          <bgColor theme="0" tint="-0.24994659260841701"/>
        </patternFill>
      </fill>
    </dxf>
    <dxf>
      <numFmt numFmtId="166" formatCode="0.0E+00"/>
    </dxf>
    <dxf>
      <numFmt numFmtId="166" formatCode="0.0E+00"/>
    </dxf>
    <dxf>
      <numFmt numFmtId="4" formatCode="#,##0.00"/>
    </dxf>
    <dxf>
      <numFmt numFmtId="3" formatCode="#,##0"/>
    </dxf>
    <dxf>
      <numFmt numFmtId="168" formatCode="#,##0.0"/>
    </dxf>
    <dxf>
      <font>
        <b/>
        <i val="0"/>
      </font>
      <fill>
        <patternFill>
          <bgColor theme="0" tint="-0.24994659260841701"/>
        </patternFill>
      </fill>
    </dxf>
    <dxf>
      <numFmt numFmtId="4" formatCode="#,##0.00"/>
    </dxf>
    <dxf>
      <numFmt numFmtId="166" formatCode="0.0E+00"/>
    </dxf>
    <dxf>
      <numFmt numFmtId="168" formatCode="#,##0.0"/>
    </dxf>
    <dxf>
      <numFmt numFmtId="3" formatCode="#,##0"/>
    </dxf>
    <dxf>
      <numFmt numFmtId="166" formatCode="0.0E+00"/>
    </dxf>
    <dxf>
      <font>
        <b/>
        <i val="0"/>
      </font>
      <fill>
        <patternFill>
          <bgColor theme="0" tint="-0.24994659260841701"/>
        </patternFill>
      </fill>
    </dxf>
    <dxf>
      <numFmt numFmtId="3" formatCode="#,##0"/>
    </dxf>
    <dxf>
      <numFmt numFmtId="4" formatCode="#,##0.00"/>
    </dxf>
    <dxf>
      <numFmt numFmtId="166" formatCode="0.0E+00"/>
    </dxf>
    <dxf>
      <numFmt numFmtId="168" formatCode="#,##0.0"/>
    </dxf>
    <dxf>
      <numFmt numFmtId="166" formatCode="0.0E+00"/>
    </dxf>
    <dxf>
      <font>
        <b/>
        <i val="0"/>
      </font>
      <fill>
        <patternFill>
          <bgColor theme="0" tint="-0.24994659260841701"/>
        </patternFill>
      </fill>
    </dxf>
    <dxf>
      <numFmt numFmtId="168" formatCode="#,##0.0"/>
    </dxf>
    <dxf>
      <font>
        <b/>
        <i val="0"/>
      </font>
      <fill>
        <patternFill>
          <bgColor theme="0" tint="-0.24994659260841701"/>
        </patternFill>
      </fill>
    </dxf>
    <dxf>
      <numFmt numFmtId="3" formatCode="#,##0"/>
    </dxf>
    <dxf>
      <numFmt numFmtId="166" formatCode="0.0E+00"/>
    </dxf>
    <dxf>
      <numFmt numFmtId="4" formatCode="#,##0.00"/>
    </dxf>
    <dxf>
      <numFmt numFmtId="166" formatCode="0.0E+00"/>
    </dxf>
    <dxf>
      <numFmt numFmtId="3" formatCode="#,##0"/>
    </dxf>
    <dxf>
      <numFmt numFmtId="166" formatCode="0.0E+00"/>
    </dxf>
    <dxf>
      <font>
        <b/>
        <i val="0"/>
      </font>
      <fill>
        <patternFill>
          <bgColor theme="0" tint="-0.24994659260841701"/>
        </patternFill>
      </fill>
    </dxf>
    <dxf>
      <numFmt numFmtId="4" formatCode="#,##0.00"/>
    </dxf>
    <dxf>
      <numFmt numFmtId="166" formatCode="0.0E+00"/>
    </dxf>
    <dxf>
      <numFmt numFmtId="168" formatCode="#,##0.0"/>
    </dxf>
    <dxf>
      <numFmt numFmtId="166" formatCode="0.0E+00"/>
    </dxf>
    <dxf>
      <numFmt numFmtId="166" formatCode="0.0E+00"/>
    </dxf>
    <dxf>
      <numFmt numFmtId="3" formatCode="#,##0"/>
    </dxf>
    <dxf>
      <numFmt numFmtId="168" formatCode="#,##0.0"/>
    </dxf>
    <dxf>
      <numFmt numFmtId="4" formatCode="#,##0.00"/>
    </dxf>
    <dxf>
      <font>
        <b/>
        <i val="0"/>
      </font>
      <fill>
        <patternFill>
          <bgColor theme="0" tint="-0.24994659260841701"/>
        </patternFill>
      </fill>
    </dxf>
    <dxf>
      <numFmt numFmtId="3" formatCode="#,##0"/>
    </dxf>
    <dxf>
      <numFmt numFmtId="4" formatCode="#,##0.00"/>
    </dxf>
    <dxf>
      <numFmt numFmtId="168" formatCode="#,##0.0"/>
    </dxf>
    <dxf>
      <numFmt numFmtId="166" formatCode="0.0E+00"/>
    </dxf>
    <dxf>
      <numFmt numFmtId="166" formatCode="0.0E+00"/>
    </dxf>
    <dxf>
      <font>
        <b/>
        <i val="0"/>
      </font>
      <fill>
        <patternFill>
          <bgColor theme="0" tint="-0.24994659260841701"/>
        </patternFill>
      </fill>
    </dxf>
    <dxf>
      <numFmt numFmtId="3" formatCode="#,##0"/>
    </dxf>
    <dxf>
      <numFmt numFmtId="168" formatCode="#,##0.0"/>
    </dxf>
    <dxf>
      <numFmt numFmtId="4" formatCode="#,##0.00"/>
    </dxf>
    <dxf>
      <numFmt numFmtId="166" formatCode="0.0E+00"/>
    </dxf>
    <dxf>
      <font>
        <b/>
        <i val="0"/>
      </font>
      <fill>
        <patternFill>
          <bgColor theme="0" tint="-0.24994659260841701"/>
        </patternFill>
      </fill>
    </dxf>
    <dxf>
      <numFmt numFmtId="166" formatCode="0.0E+00"/>
    </dxf>
    <dxf>
      <font>
        <b/>
        <i val="0"/>
      </font>
      <fill>
        <patternFill>
          <bgColor theme="0" tint="-0.24994659260841701"/>
        </patternFill>
      </fill>
    </dxf>
    <dxf>
      <numFmt numFmtId="166" formatCode="0.0E+00"/>
    </dxf>
    <dxf>
      <numFmt numFmtId="3" formatCode="#,##0"/>
    </dxf>
    <dxf>
      <numFmt numFmtId="168" formatCode="#,##0.0"/>
    </dxf>
    <dxf>
      <numFmt numFmtId="4" formatCode="#,##0.00"/>
    </dxf>
    <dxf>
      <numFmt numFmtId="166" formatCode="0.0E+00"/>
    </dxf>
    <dxf>
      <numFmt numFmtId="168" formatCode="#,##0.0"/>
    </dxf>
    <dxf>
      <numFmt numFmtId="4" formatCode="#,##0.00"/>
    </dxf>
    <dxf>
      <numFmt numFmtId="166" formatCode="0.0E+00"/>
    </dxf>
    <dxf>
      <font>
        <b/>
        <i val="0"/>
      </font>
      <fill>
        <patternFill>
          <bgColor theme="0" tint="-0.24994659260841701"/>
        </patternFill>
      </fill>
    </dxf>
    <dxf>
      <numFmt numFmtId="166" formatCode="0.0E+00"/>
    </dxf>
    <dxf>
      <numFmt numFmtId="3" formatCode="#,##0"/>
    </dxf>
    <dxf>
      <numFmt numFmtId="166" formatCode="0.0E+00"/>
    </dxf>
    <dxf>
      <numFmt numFmtId="3" formatCode="#,##0"/>
    </dxf>
    <dxf>
      <numFmt numFmtId="4" formatCode="#,##0.00"/>
    </dxf>
    <dxf>
      <font>
        <b/>
        <i val="0"/>
      </font>
      <fill>
        <patternFill>
          <bgColor theme="0" tint="-0.24994659260841701"/>
        </patternFill>
      </fill>
    </dxf>
    <dxf>
      <numFmt numFmtId="166" formatCode="0.0E+00"/>
    </dxf>
    <dxf>
      <numFmt numFmtId="168" formatCode="#,##0.0"/>
    </dxf>
    <dxf>
      <font>
        <b/>
        <i val="0"/>
      </font>
      <fill>
        <patternFill>
          <bgColor theme="0" tint="-0.24994659260841701"/>
        </patternFill>
      </fill>
    </dxf>
    <dxf>
      <numFmt numFmtId="166" formatCode="0.0E+00"/>
    </dxf>
    <dxf>
      <numFmt numFmtId="3" formatCode="#,##0"/>
    </dxf>
    <dxf>
      <numFmt numFmtId="4" formatCode="#,##0.00"/>
    </dxf>
    <dxf>
      <numFmt numFmtId="166" formatCode="0.0E+00"/>
    </dxf>
    <dxf>
      <numFmt numFmtId="168" formatCode="#,##0.0"/>
    </dxf>
    <dxf>
      <font>
        <b/>
        <i val="0"/>
      </font>
      <fill>
        <patternFill>
          <bgColor theme="0" tint="-0.24994659260841701"/>
        </patternFill>
      </fill>
    </dxf>
    <dxf>
      <numFmt numFmtId="166" formatCode="0.0E+00"/>
    </dxf>
    <dxf>
      <numFmt numFmtId="3" formatCode="#,##0"/>
    </dxf>
    <dxf>
      <numFmt numFmtId="168" formatCode="#,##0.0"/>
    </dxf>
    <dxf>
      <numFmt numFmtId="166" formatCode="0.0E+00"/>
    </dxf>
    <dxf>
      <numFmt numFmtId="4" formatCode="#,##0.00"/>
    </dxf>
    <dxf>
      <numFmt numFmtId="3" formatCode="#,##0"/>
    </dxf>
    <dxf>
      <numFmt numFmtId="168" formatCode="#,##0.0"/>
    </dxf>
    <dxf>
      <numFmt numFmtId="4" formatCode="#,##0.00"/>
    </dxf>
    <dxf>
      <numFmt numFmtId="166" formatCode="0.0E+00"/>
    </dxf>
    <dxf>
      <numFmt numFmtId="166" formatCode="0.0E+00"/>
    </dxf>
    <dxf>
      <font>
        <b/>
        <i val="0"/>
      </font>
      <fill>
        <patternFill>
          <bgColor theme="0" tint="-0.24994659260841701"/>
        </patternFill>
      </fill>
    </dxf>
    <dxf>
      <numFmt numFmtId="168" formatCode="#,##0.0"/>
    </dxf>
    <dxf>
      <numFmt numFmtId="3" formatCode="#,##0"/>
    </dxf>
    <dxf>
      <numFmt numFmtId="166" formatCode="0.0E+00"/>
    </dxf>
    <dxf>
      <font>
        <b/>
        <i val="0"/>
      </font>
      <fill>
        <patternFill>
          <bgColor theme="0" tint="-0.24994659260841701"/>
        </patternFill>
      </fill>
    </dxf>
    <dxf>
      <numFmt numFmtId="166" formatCode="0.0E+00"/>
    </dxf>
    <dxf>
      <numFmt numFmtId="4" formatCode="#,##0.00"/>
    </dxf>
    <dxf>
      <numFmt numFmtId="168" formatCode="#,##0.0"/>
    </dxf>
    <dxf>
      <numFmt numFmtId="3" formatCode="#,##0"/>
    </dxf>
    <dxf>
      <numFmt numFmtId="166" formatCode="0.0E+00"/>
    </dxf>
    <dxf>
      <numFmt numFmtId="4" formatCode="#,##0.00"/>
    </dxf>
    <dxf>
      <font>
        <b/>
        <i val="0"/>
      </font>
      <fill>
        <patternFill>
          <bgColor theme="0" tint="-0.24994659260841701"/>
        </patternFill>
      </fill>
    </dxf>
    <dxf>
      <numFmt numFmtId="166" formatCode="0.0E+00"/>
    </dxf>
    <dxf>
      <numFmt numFmtId="166" formatCode="0.0E+00"/>
    </dxf>
    <dxf>
      <numFmt numFmtId="4" formatCode="#,##0.00"/>
    </dxf>
    <dxf>
      <numFmt numFmtId="166" formatCode="0.0E+00"/>
    </dxf>
    <dxf>
      <numFmt numFmtId="168" formatCode="#,##0.0"/>
    </dxf>
    <dxf>
      <numFmt numFmtId="3" formatCode="#,##0"/>
    </dxf>
    <dxf>
      <font>
        <b/>
        <i val="0"/>
      </font>
      <fill>
        <patternFill>
          <bgColor theme="0" tint="-0.24994659260841701"/>
        </patternFill>
      </fill>
    </dxf>
    <dxf>
      <font>
        <b/>
        <i val="0"/>
      </font>
      <fill>
        <patternFill>
          <bgColor theme="0" tint="-0.24994659260841701"/>
        </patternFill>
      </fill>
    </dxf>
    <dxf>
      <numFmt numFmtId="3" formatCode="#,##0"/>
    </dxf>
    <dxf>
      <numFmt numFmtId="166" formatCode="0.0E+00"/>
    </dxf>
    <dxf>
      <numFmt numFmtId="168" formatCode="#,##0.0"/>
    </dxf>
    <dxf>
      <numFmt numFmtId="4" formatCode="#,##0.00"/>
    </dxf>
    <dxf>
      <numFmt numFmtId="166" formatCode="0.0E+00"/>
    </dxf>
    <dxf>
      <numFmt numFmtId="4" formatCode="#,##0.00"/>
    </dxf>
    <dxf>
      <font>
        <b/>
        <i val="0"/>
      </font>
      <fill>
        <patternFill>
          <bgColor theme="0" tint="-0.24994659260841701"/>
        </patternFill>
      </fill>
    </dxf>
    <dxf>
      <numFmt numFmtId="166" formatCode="0.0E+00"/>
    </dxf>
    <dxf>
      <numFmt numFmtId="166" formatCode="0.0E+00"/>
    </dxf>
    <dxf>
      <numFmt numFmtId="168" formatCode="#,##0.0"/>
    </dxf>
    <dxf>
      <numFmt numFmtId="3" formatCode="#,##0"/>
    </dxf>
    <dxf>
      <font>
        <b/>
        <i val="0"/>
      </font>
      <fill>
        <patternFill>
          <bgColor theme="0" tint="-0.24994659260841701"/>
        </patternFill>
      </fill>
    </dxf>
    <dxf>
      <numFmt numFmtId="166" formatCode="0.0E+00"/>
    </dxf>
    <dxf>
      <numFmt numFmtId="4" formatCode="#,##0.00"/>
    </dxf>
    <dxf>
      <numFmt numFmtId="168" formatCode="#,##0.0"/>
    </dxf>
    <dxf>
      <numFmt numFmtId="166" formatCode="0.0E+00"/>
    </dxf>
    <dxf>
      <numFmt numFmtId="3" formatCode="#,##0"/>
    </dxf>
    <dxf>
      <numFmt numFmtId="168" formatCode="#,##0.0"/>
    </dxf>
    <dxf>
      <numFmt numFmtId="4" formatCode="#,##0.00"/>
    </dxf>
    <dxf>
      <font>
        <b/>
        <i val="0"/>
      </font>
      <fill>
        <patternFill>
          <bgColor theme="0" tint="-0.24994659260841701"/>
        </patternFill>
      </fill>
    </dxf>
    <dxf>
      <numFmt numFmtId="166" formatCode="0.0E+00"/>
    </dxf>
    <dxf>
      <numFmt numFmtId="3" formatCode="#,##0"/>
    </dxf>
    <dxf>
      <numFmt numFmtId="166" formatCode="0.0E+00"/>
    </dxf>
    <dxf>
      <numFmt numFmtId="168" formatCode="#,##0.0"/>
    </dxf>
    <dxf>
      <numFmt numFmtId="4" formatCode="#,##0.00"/>
    </dxf>
    <dxf>
      <numFmt numFmtId="166" formatCode="0.0E+00"/>
    </dxf>
    <dxf>
      <font>
        <b/>
        <i val="0"/>
      </font>
      <fill>
        <patternFill>
          <bgColor theme="0" tint="-0.24994659260841701"/>
        </patternFill>
      </fill>
    </dxf>
    <dxf>
      <numFmt numFmtId="166" formatCode="0.0E+00"/>
    </dxf>
    <dxf>
      <numFmt numFmtId="3" formatCode="#,##0"/>
    </dxf>
    <dxf>
      <numFmt numFmtId="3" formatCode="#,##0"/>
    </dxf>
    <dxf>
      <numFmt numFmtId="168" formatCode="#,##0.0"/>
    </dxf>
    <dxf>
      <numFmt numFmtId="4" formatCode="#,##0.00"/>
    </dxf>
    <dxf>
      <numFmt numFmtId="166" formatCode="0.0E+00"/>
    </dxf>
    <dxf>
      <font>
        <b/>
        <i val="0"/>
      </font>
      <fill>
        <patternFill>
          <bgColor theme="0" tint="-0.24994659260841701"/>
        </patternFill>
      </fill>
    </dxf>
    <dxf>
      <numFmt numFmtId="166" formatCode="0.0E+00"/>
    </dxf>
    <dxf>
      <font>
        <b/>
        <i val="0"/>
      </font>
      <fill>
        <patternFill>
          <bgColor theme="0" tint="-0.24994659260841701"/>
        </patternFill>
      </fill>
    </dxf>
    <dxf>
      <numFmt numFmtId="166" formatCode="0.0E+00"/>
    </dxf>
    <dxf>
      <numFmt numFmtId="3" formatCode="#,##0"/>
    </dxf>
    <dxf>
      <numFmt numFmtId="168" formatCode="#,##0.0"/>
    </dxf>
    <dxf>
      <numFmt numFmtId="4" formatCode="#,##0.00"/>
    </dxf>
    <dxf>
      <numFmt numFmtId="166" formatCode="0.0E+00"/>
    </dxf>
    <dxf>
      <numFmt numFmtId="4" formatCode="#,##0.00"/>
    </dxf>
    <dxf>
      <numFmt numFmtId="166" formatCode="0.0E+00"/>
    </dxf>
    <dxf>
      <numFmt numFmtId="168" formatCode="#,##0.0"/>
    </dxf>
    <dxf>
      <numFmt numFmtId="3" formatCode="#,##0"/>
    </dxf>
    <dxf>
      <numFmt numFmtId="166" formatCode="0.0E+00"/>
    </dxf>
    <dxf>
      <font>
        <b/>
        <i val="0"/>
      </font>
      <fill>
        <patternFill>
          <bgColor theme="0" tint="-0.24994659260841701"/>
        </patternFill>
      </fill>
    </dxf>
    <dxf>
      <numFmt numFmtId="4" formatCode="#,##0.00"/>
    </dxf>
    <dxf>
      <font>
        <b/>
        <i val="0"/>
      </font>
      <fill>
        <patternFill>
          <bgColor theme="0" tint="-0.24994659260841701"/>
        </patternFill>
      </fill>
    </dxf>
    <dxf>
      <numFmt numFmtId="166" formatCode="0.0E+00"/>
    </dxf>
    <dxf>
      <numFmt numFmtId="166" formatCode="0.0E+00"/>
    </dxf>
    <dxf>
      <numFmt numFmtId="3" formatCode="#,##0"/>
    </dxf>
    <dxf>
      <numFmt numFmtId="168" formatCode="#,##0.0"/>
    </dxf>
    <dxf>
      <font>
        <b/>
        <i val="0"/>
      </font>
      <fill>
        <patternFill>
          <bgColor theme="0" tint="-0.24994659260841701"/>
        </patternFill>
      </fill>
    </dxf>
    <dxf>
      <numFmt numFmtId="166" formatCode="0.0E+00"/>
    </dxf>
    <dxf>
      <numFmt numFmtId="3" formatCode="#,##0"/>
    </dxf>
    <dxf>
      <numFmt numFmtId="168" formatCode="#,##0.0"/>
    </dxf>
    <dxf>
      <numFmt numFmtId="166" formatCode="0.0E+00"/>
    </dxf>
    <dxf>
      <numFmt numFmtId="4" formatCode="#,##0.00"/>
    </dxf>
    <dxf>
      <numFmt numFmtId="166" formatCode="0.0E+00"/>
    </dxf>
    <dxf>
      <numFmt numFmtId="4" formatCode="#,##0.00"/>
    </dxf>
    <dxf>
      <numFmt numFmtId="168" formatCode="#,##0.0"/>
    </dxf>
    <dxf>
      <numFmt numFmtId="3" formatCode="#,##0"/>
    </dxf>
    <dxf>
      <numFmt numFmtId="166" formatCode="0.0E+00"/>
    </dxf>
    <dxf>
      <font>
        <b/>
        <i val="0"/>
      </font>
      <fill>
        <patternFill>
          <bgColor theme="0" tint="-0.24994659260841701"/>
        </patternFill>
      </fill>
    </dxf>
    <dxf>
      <numFmt numFmtId="166" formatCode="0.0E+00"/>
    </dxf>
    <dxf>
      <numFmt numFmtId="4" formatCode="#,##0.00"/>
    </dxf>
    <dxf>
      <numFmt numFmtId="168" formatCode="#,##0.0"/>
    </dxf>
    <dxf>
      <numFmt numFmtId="3" formatCode="#,##0"/>
    </dxf>
    <dxf>
      <numFmt numFmtId="166" formatCode="0.0E+00"/>
    </dxf>
    <dxf>
      <font>
        <b/>
        <i val="0"/>
      </font>
      <fill>
        <patternFill>
          <bgColor theme="0" tint="-0.24994659260841701"/>
        </patternFill>
      </fill>
    </dxf>
    <dxf>
      <numFmt numFmtId="4" formatCode="#,##0.00"/>
    </dxf>
    <dxf>
      <numFmt numFmtId="168" formatCode="#,##0.0"/>
    </dxf>
    <dxf>
      <numFmt numFmtId="3" formatCode="#,##0"/>
    </dxf>
    <dxf>
      <numFmt numFmtId="166" formatCode="0.0E+00"/>
    </dxf>
    <dxf>
      <font>
        <b/>
        <i val="0"/>
      </font>
      <fill>
        <patternFill>
          <bgColor theme="0" tint="-0.24994659260841701"/>
        </patternFill>
      </fill>
    </dxf>
    <dxf>
      <numFmt numFmtId="166" formatCode="0.0E+00"/>
    </dxf>
    <dxf>
      <font>
        <b/>
        <i val="0"/>
      </font>
      <fill>
        <patternFill>
          <bgColor theme="0" tint="-0.24994659260841701"/>
        </patternFill>
      </fill>
    </dxf>
    <dxf>
      <numFmt numFmtId="166" formatCode="0.0E+00"/>
    </dxf>
    <dxf>
      <numFmt numFmtId="3" formatCode="#,##0"/>
    </dxf>
    <dxf>
      <numFmt numFmtId="168" formatCode="#,##0.0"/>
    </dxf>
    <dxf>
      <numFmt numFmtId="4" formatCode="#,##0.00"/>
    </dxf>
    <dxf>
      <numFmt numFmtId="166" formatCode="0.0E+00"/>
    </dxf>
    <dxf>
      <font>
        <b/>
        <i val="0"/>
      </font>
      <fill>
        <patternFill>
          <bgColor theme="0" tint="-0.24994659260841701"/>
        </patternFill>
      </fill>
    </dxf>
    <dxf>
      <numFmt numFmtId="3" formatCode="#,##0"/>
    </dxf>
    <dxf>
      <numFmt numFmtId="168" formatCode="#,##0.0"/>
    </dxf>
    <dxf>
      <numFmt numFmtId="4" formatCode="#,##0.00"/>
    </dxf>
    <dxf>
      <numFmt numFmtId="166" formatCode="0.0E+00"/>
    </dxf>
    <dxf>
      <numFmt numFmtId="166" formatCode="0.0E+00"/>
    </dxf>
    <dxf>
      <numFmt numFmtId="166" formatCode="0.0E+00"/>
    </dxf>
    <dxf>
      <numFmt numFmtId="4" formatCode="#,##0.00"/>
    </dxf>
    <dxf>
      <numFmt numFmtId="168" formatCode="#,##0.0"/>
    </dxf>
    <dxf>
      <numFmt numFmtId="166" formatCode="0.0E+00"/>
    </dxf>
    <dxf>
      <font>
        <b/>
        <i val="0"/>
      </font>
      <fill>
        <patternFill>
          <bgColor theme="0" tint="-0.24994659260841701"/>
        </patternFill>
      </fill>
    </dxf>
    <dxf>
      <numFmt numFmtId="3" formatCode="#,##0"/>
    </dxf>
    <dxf>
      <numFmt numFmtId="168" formatCode="#,##0.0"/>
    </dxf>
    <dxf>
      <numFmt numFmtId="166" formatCode="0.0E+00"/>
    </dxf>
    <dxf>
      <numFmt numFmtId="166" formatCode="0.0E+00"/>
    </dxf>
    <dxf>
      <numFmt numFmtId="3" formatCode="#,##0"/>
    </dxf>
    <dxf>
      <numFmt numFmtId="4" formatCode="#,##0.00"/>
    </dxf>
    <dxf>
      <font>
        <b/>
        <i val="0"/>
      </font>
      <fill>
        <patternFill>
          <bgColor theme="0" tint="-0.24994659260841701"/>
        </patternFill>
      </fill>
    </dxf>
    <dxf>
      <numFmt numFmtId="168" formatCode="#,##0.0"/>
    </dxf>
    <dxf>
      <numFmt numFmtId="166" formatCode="0.0E+00"/>
    </dxf>
    <dxf>
      <numFmt numFmtId="3" formatCode="#,##0"/>
    </dxf>
    <dxf>
      <numFmt numFmtId="166" formatCode="0.0E+00"/>
    </dxf>
    <dxf>
      <font>
        <b/>
        <i val="0"/>
      </font>
      <fill>
        <patternFill>
          <bgColor theme="0" tint="-0.24994659260841701"/>
        </patternFill>
      </fill>
    </dxf>
    <dxf>
      <numFmt numFmtId="4" formatCode="#,##0.00"/>
    </dxf>
    <dxf>
      <numFmt numFmtId="4" formatCode="#,##0.00"/>
    </dxf>
    <dxf>
      <font>
        <b/>
        <i val="0"/>
      </font>
      <fill>
        <patternFill>
          <bgColor theme="0" tint="-0.24994659260841701"/>
        </patternFill>
      </fill>
    </dxf>
    <dxf>
      <numFmt numFmtId="166" formatCode="0.0E+00"/>
    </dxf>
    <dxf>
      <numFmt numFmtId="3" formatCode="#,##0"/>
    </dxf>
    <dxf>
      <numFmt numFmtId="168" formatCode="#,##0.0"/>
    </dxf>
    <dxf>
      <numFmt numFmtId="166" formatCode="0.0E+00"/>
    </dxf>
    <dxf>
      <numFmt numFmtId="166" formatCode="0.0E+00"/>
    </dxf>
    <dxf>
      <numFmt numFmtId="3" formatCode="#,##0"/>
    </dxf>
    <dxf>
      <numFmt numFmtId="168" formatCode="#,##0.0"/>
    </dxf>
    <dxf>
      <numFmt numFmtId="4" formatCode="#,##0.00"/>
    </dxf>
    <dxf>
      <font>
        <b/>
        <i val="0"/>
      </font>
      <fill>
        <patternFill>
          <bgColor theme="0" tint="-0.24994659260841701"/>
        </patternFill>
      </fill>
    </dxf>
    <dxf>
      <numFmt numFmtId="166" formatCode="0.0E+00"/>
    </dxf>
    <dxf>
      <font>
        <b/>
        <i val="0"/>
      </font>
      <fill>
        <patternFill>
          <bgColor theme="0" tint="-0.24994659260841701"/>
        </patternFill>
      </fill>
    </dxf>
    <dxf>
      <numFmt numFmtId="168" formatCode="#,##0.0"/>
    </dxf>
    <dxf>
      <numFmt numFmtId="166" formatCode="0.0E+00"/>
    </dxf>
    <dxf>
      <numFmt numFmtId="166" formatCode="0.0E+00"/>
    </dxf>
    <dxf>
      <numFmt numFmtId="4" formatCode="#,##0.00"/>
    </dxf>
    <dxf>
      <numFmt numFmtId="3" formatCode="#,##0"/>
    </dxf>
    <dxf>
      <numFmt numFmtId="166" formatCode="0.0E+00"/>
    </dxf>
    <dxf>
      <font>
        <b/>
        <i val="0"/>
      </font>
      <fill>
        <patternFill>
          <bgColor theme="0" tint="-0.24994659260841701"/>
        </patternFill>
      </fill>
    </dxf>
    <dxf>
      <numFmt numFmtId="166" formatCode="0.0E+00"/>
    </dxf>
    <dxf>
      <numFmt numFmtId="3" formatCode="#,##0"/>
    </dxf>
    <dxf>
      <numFmt numFmtId="168" formatCode="#,##0.0"/>
    </dxf>
    <dxf>
      <numFmt numFmtId="4" formatCode="#,##0.00"/>
    </dxf>
    <dxf>
      <font>
        <b/>
        <i val="0"/>
      </font>
      <fill>
        <patternFill>
          <bgColor theme="0" tint="-0.24994659260841701"/>
        </patternFill>
      </fill>
    </dxf>
    <dxf>
      <numFmt numFmtId="166" formatCode="0.0E+00"/>
    </dxf>
    <dxf>
      <numFmt numFmtId="3" formatCode="#,##0"/>
    </dxf>
    <dxf>
      <numFmt numFmtId="168" formatCode="#,##0.0"/>
    </dxf>
    <dxf>
      <numFmt numFmtId="4" formatCode="#,##0.00"/>
    </dxf>
    <dxf>
      <numFmt numFmtId="166" formatCode="0.0E+00"/>
    </dxf>
    <dxf>
      <font>
        <b/>
        <i val="0"/>
      </font>
      <fill>
        <patternFill>
          <bgColor theme="0" tint="-0.24994659260841701"/>
        </patternFill>
      </fill>
    </dxf>
    <dxf>
      <numFmt numFmtId="166" formatCode="0.0E+00"/>
    </dxf>
    <dxf>
      <numFmt numFmtId="3" formatCode="#,##0"/>
    </dxf>
    <dxf>
      <numFmt numFmtId="168" formatCode="#,##0.0"/>
    </dxf>
    <dxf>
      <numFmt numFmtId="4" formatCode="#,##0.00"/>
    </dxf>
    <dxf>
      <numFmt numFmtId="166" formatCode="0.0E+00"/>
    </dxf>
    <dxf>
      <numFmt numFmtId="166" formatCode="0.0E+00"/>
    </dxf>
    <dxf>
      <numFmt numFmtId="4" formatCode="#,##0.00"/>
    </dxf>
    <dxf>
      <numFmt numFmtId="168" formatCode="#,##0.0"/>
    </dxf>
    <dxf>
      <numFmt numFmtId="3" formatCode="#,##0"/>
    </dxf>
    <dxf>
      <numFmt numFmtId="166" formatCode="0.0E+00"/>
    </dxf>
    <dxf>
      <font>
        <b/>
        <i val="0"/>
      </font>
      <fill>
        <patternFill>
          <bgColor theme="0" tint="-0.24994659260841701"/>
        </patternFill>
      </fill>
    </dxf>
    <dxf>
      <numFmt numFmtId="166" formatCode="0.0E+00"/>
    </dxf>
    <dxf>
      <numFmt numFmtId="4" formatCode="#,##0.00"/>
    </dxf>
    <dxf>
      <numFmt numFmtId="3" formatCode="#,##0"/>
    </dxf>
    <dxf>
      <numFmt numFmtId="166" formatCode="0.0E+00"/>
    </dxf>
    <dxf>
      <numFmt numFmtId="168" formatCode="#,##0.0"/>
    </dxf>
    <dxf>
      <font>
        <b/>
        <i val="0"/>
      </font>
      <fill>
        <patternFill>
          <bgColor theme="0" tint="-0.24994659260841701"/>
        </patternFill>
      </fill>
    </dxf>
    <dxf>
      <numFmt numFmtId="4" formatCode="#,##0.00"/>
    </dxf>
    <dxf>
      <numFmt numFmtId="166" formatCode="0.0E+00"/>
    </dxf>
    <dxf>
      <numFmt numFmtId="168" formatCode="#,##0.0"/>
    </dxf>
    <dxf>
      <numFmt numFmtId="3" formatCode="#,##0"/>
    </dxf>
    <dxf>
      <numFmt numFmtId="166" formatCode="0.0E+00"/>
    </dxf>
    <dxf>
      <font>
        <b/>
        <i val="0"/>
      </font>
      <fill>
        <patternFill>
          <bgColor theme="0" tint="-0.24994659260841701"/>
        </patternFill>
      </fill>
    </dxf>
    <dxf>
      <numFmt numFmtId="166" formatCode="0.0E+00"/>
    </dxf>
    <dxf>
      <numFmt numFmtId="4" formatCode="#,##0.00"/>
    </dxf>
    <dxf>
      <numFmt numFmtId="168" formatCode="#,##0.0"/>
    </dxf>
    <dxf>
      <numFmt numFmtId="3" formatCode="#,##0"/>
    </dxf>
    <dxf>
      <numFmt numFmtId="166" formatCode="0.0E+00"/>
    </dxf>
    <dxf>
      <font>
        <b/>
        <i val="0"/>
      </font>
      <fill>
        <patternFill>
          <bgColor theme="0" tint="-0.24994659260841701"/>
        </patternFill>
      </fill>
    </dxf>
    <dxf>
      <font>
        <b/>
        <i val="0"/>
      </font>
      <fill>
        <patternFill>
          <bgColor theme="0" tint="-0.24994659260841701"/>
        </patternFill>
      </fill>
    </dxf>
    <dxf>
      <numFmt numFmtId="166" formatCode="0.0E+00"/>
    </dxf>
    <dxf>
      <numFmt numFmtId="3" formatCode="#,##0"/>
    </dxf>
    <dxf>
      <numFmt numFmtId="168" formatCode="#,##0.0"/>
    </dxf>
    <dxf>
      <numFmt numFmtId="4" formatCode="#,##0.00"/>
    </dxf>
    <dxf>
      <numFmt numFmtId="166" formatCode="0.0E+00"/>
    </dxf>
    <dxf>
      <numFmt numFmtId="166" formatCode="0.0E+00"/>
    </dxf>
    <dxf>
      <numFmt numFmtId="4" formatCode="#,##0.00"/>
    </dxf>
    <dxf>
      <numFmt numFmtId="168" formatCode="#,##0.0"/>
    </dxf>
    <dxf>
      <numFmt numFmtId="3" formatCode="#,##0"/>
    </dxf>
    <dxf>
      <font>
        <b/>
        <i val="0"/>
      </font>
      <fill>
        <patternFill>
          <bgColor theme="0" tint="-0.24994659260841701"/>
        </patternFill>
      </fill>
    </dxf>
    <dxf>
      <numFmt numFmtId="166" formatCode="0.0E+00"/>
    </dxf>
    <dxf>
      <numFmt numFmtId="166" formatCode="0.0E+00"/>
    </dxf>
    <dxf>
      <numFmt numFmtId="4" formatCode="#,##0.00"/>
    </dxf>
    <dxf>
      <numFmt numFmtId="168" formatCode="#,##0.0"/>
    </dxf>
    <dxf>
      <numFmt numFmtId="3" formatCode="#,##0"/>
    </dxf>
    <dxf>
      <numFmt numFmtId="166" formatCode="0.0E+00"/>
    </dxf>
    <dxf>
      <font>
        <b/>
        <i val="0"/>
      </font>
      <fill>
        <patternFill>
          <bgColor theme="0" tint="-0.24994659260841701"/>
        </patternFill>
      </fill>
    </dxf>
    <dxf>
      <numFmt numFmtId="4" formatCode="#,##0.00"/>
    </dxf>
    <dxf>
      <numFmt numFmtId="3" formatCode="#,##0"/>
    </dxf>
    <dxf>
      <numFmt numFmtId="166" formatCode="0.0E+00"/>
    </dxf>
    <dxf>
      <font>
        <b/>
        <i val="0"/>
      </font>
      <fill>
        <patternFill>
          <bgColor theme="0" tint="-0.24994659260841701"/>
        </patternFill>
      </fill>
    </dxf>
    <dxf>
      <numFmt numFmtId="166" formatCode="0.0E+00"/>
    </dxf>
    <dxf>
      <numFmt numFmtId="168" formatCode="#,##0.0"/>
    </dxf>
    <dxf>
      <numFmt numFmtId="166" formatCode="0.0E+00"/>
    </dxf>
    <dxf>
      <font>
        <b/>
        <i val="0"/>
      </font>
      <fill>
        <patternFill>
          <bgColor theme="0" tint="-0.24994659260841701"/>
        </patternFill>
      </fill>
    </dxf>
    <dxf>
      <numFmt numFmtId="166" formatCode="0.0E+00"/>
    </dxf>
    <dxf>
      <numFmt numFmtId="3" formatCode="#,##0"/>
    </dxf>
    <dxf>
      <numFmt numFmtId="168" formatCode="#,##0.0"/>
    </dxf>
    <dxf>
      <numFmt numFmtId="4" formatCode="#,##0.00"/>
    </dxf>
    <dxf>
      <numFmt numFmtId="166" formatCode="0.0E+00"/>
    </dxf>
    <dxf>
      <numFmt numFmtId="4" formatCode="#,##0.00"/>
    </dxf>
    <dxf>
      <numFmt numFmtId="168" formatCode="#,##0.0"/>
    </dxf>
    <dxf>
      <numFmt numFmtId="3" formatCode="#,##0"/>
    </dxf>
    <dxf>
      <numFmt numFmtId="166" formatCode="0.0E+00"/>
    </dxf>
    <dxf>
      <font>
        <b/>
        <i val="0"/>
      </font>
      <fill>
        <patternFill>
          <bgColor theme="0" tint="-0.24994659260841701"/>
        </patternFill>
      </fill>
    </dxf>
    <dxf>
      <numFmt numFmtId="166" formatCode="0.0E+00"/>
    </dxf>
    <dxf>
      <numFmt numFmtId="4" formatCode="#,##0.00"/>
    </dxf>
    <dxf>
      <numFmt numFmtId="168" formatCode="#,##0.0"/>
    </dxf>
    <dxf>
      <numFmt numFmtId="3" formatCode="#,##0"/>
    </dxf>
    <dxf>
      <numFmt numFmtId="166" formatCode="0.0E+00"/>
    </dxf>
    <dxf>
      <font>
        <b/>
        <i val="0"/>
      </font>
      <fill>
        <patternFill>
          <bgColor theme="0" tint="-0.24994659260841701"/>
        </patternFill>
      </fill>
    </dxf>
    <dxf>
      <numFmt numFmtId="166" formatCode="0.0E+00"/>
    </dxf>
    <dxf>
      <numFmt numFmtId="4" formatCode="#,##0.00"/>
    </dxf>
    <dxf>
      <numFmt numFmtId="168" formatCode="#,##0.0"/>
    </dxf>
    <dxf>
      <numFmt numFmtId="3" formatCode="#,##0"/>
    </dxf>
    <dxf>
      <font>
        <b/>
        <i val="0"/>
      </font>
      <fill>
        <patternFill>
          <bgColor theme="0" tint="-0.24994659260841701"/>
        </patternFill>
      </fill>
    </dxf>
    <dxf>
      <numFmt numFmtId="166" formatCode="0.0E+00"/>
    </dxf>
    <dxf>
      <numFmt numFmtId="166" formatCode="0.0E+00"/>
    </dxf>
    <dxf>
      <numFmt numFmtId="168" formatCode="#,##0.0"/>
    </dxf>
    <dxf>
      <numFmt numFmtId="4" formatCode="#,##0.00"/>
    </dxf>
    <dxf>
      <numFmt numFmtId="3" formatCode="#,##0"/>
    </dxf>
    <dxf>
      <font>
        <b/>
        <i val="0"/>
      </font>
      <fill>
        <patternFill>
          <bgColor theme="0" tint="-0.24994659260841701"/>
        </patternFill>
      </fill>
    </dxf>
    <dxf>
      <numFmt numFmtId="166" formatCode="0.0E+00"/>
    </dxf>
    <dxf>
      <font>
        <b/>
        <i val="0"/>
      </font>
      <fill>
        <patternFill>
          <bgColor theme="0" tint="-0.24994659260841701"/>
        </patternFill>
      </fill>
    </dxf>
    <dxf>
      <numFmt numFmtId="4" formatCode="#,##0.00"/>
    </dxf>
    <dxf>
      <numFmt numFmtId="166" formatCode="0.0E+00"/>
    </dxf>
    <dxf>
      <numFmt numFmtId="168" formatCode="#,##0.0"/>
    </dxf>
    <dxf>
      <numFmt numFmtId="3" formatCode="#,##0"/>
    </dxf>
    <dxf>
      <font>
        <b/>
        <i val="0"/>
      </font>
      <fill>
        <patternFill>
          <bgColor theme="0" tint="-0.24994659260841701"/>
        </patternFill>
      </fill>
    </dxf>
    <dxf>
      <numFmt numFmtId="166" formatCode="0.0E+00"/>
    </dxf>
    <dxf>
      <numFmt numFmtId="166" formatCode="0.0E+00"/>
    </dxf>
    <dxf>
      <numFmt numFmtId="168" formatCode="#,##0.0"/>
    </dxf>
    <dxf>
      <numFmt numFmtId="3" formatCode="#,##0"/>
    </dxf>
    <dxf>
      <numFmt numFmtId="166" formatCode="0.0E+00"/>
    </dxf>
    <dxf>
      <font>
        <b/>
        <i val="0"/>
      </font>
      <fill>
        <patternFill>
          <bgColor theme="0" tint="-0.24994659260841701"/>
        </patternFill>
      </fill>
    </dxf>
    <dxf>
      <numFmt numFmtId="4" formatCode="#,##0.00"/>
    </dxf>
    <dxf>
      <numFmt numFmtId="168" formatCode="#,##0.0"/>
    </dxf>
    <dxf>
      <numFmt numFmtId="3" formatCode="#,##0"/>
    </dxf>
    <dxf>
      <numFmt numFmtId="166" formatCode="0.0E+00"/>
    </dxf>
    <dxf>
      <font>
        <b/>
        <i val="0"/>
      </font>
      <fill>
        <patternFill>
          <bgColor theme="0" tint="-0.24994659260841701"/>
        </patternFill>
      </fill>
    </dxf>
    <dxf>
      <numFmt numFmtId="166" formatCode="0.0E+00"/>
    </dxf>
    <dxf>
      <numFmt numFmtId="4" formatCode="#,##0.00"/>
    </dxf>
    <dxf>
      <numFmt numFmtId="4" formatCode="#,##0.00"/>
    </dxf>
    <dxf>
      <numFmt numFmtId="166" formatCode="0.0E+00"/>
    </dxf>
    <dxf>
      <numFmt numFmtId="168" formatCode="#,##0.0"/>
    </dxf>
    <dxf>
      <numFmt numFmtId="3" formatCode="#,##0"/>
    </dxf>
    <dxf>
      <numFmt numFmtId="166" formatCode="0.0E+00"/>
    </dxf>
    <dxf>
      <font>
        <b/>
        <i val="0"/>
      </font>
      <fill>
        <patternFill>
          <bgColor theme="0" tint="-0.24994659260841701"/>
        </patternFill>
      </fill>
    </dxf>
    <dxf>
      <numFmt numFmtId="3" formatCode="#,##0"/>
    </dxf>
    <dxf>
      <numFmt numFmtId="168" formatCode="#,##0.0"/>
    </dxf>
    <dxf>
      <numFmt numFmtId="4" formatCode="#,##0.00"/>
    </dxf>
    <dxf>
      <numFmt numFmtId="166" formatCode="0.0E+00"/>
    </dxf>
    <dxf>
      <font>
        <b/>
        <i val="0"/>
      </font>
      <fill>
        <patternFill>
          <bgColor theme="0" tint="-0.24994659260841701"/>
        </patternFill>
      </fill>
    </dxf>
    <dxf>
      <numFmt numFmtId="166" formatCode="0.0E+00"/>
    </dxf>
    <dxf>
      <numFmt numFmtId="168" formatCode="#,##0.0"/>
    </dxf>
    <dxf>
      <numFmt numFmtId="4" formatCode="#,##0.00"/>
    </dxf>
    <dxf>
      <font>
        <b/>
        <i val="0"/>
      </font>
      <fill>
        <patternFill>
          <bgColor theme="0" tint="-0.24994659260841701"/>
        </patternFill>
      </fill>
    </dxf>
    <dxf>
      <numFmt numFmtId="166" formatCode="0.0E+00"/>
    </dxf>
    <dxf>
      <numFmt numFmtId="3" formatCode="#,##0"/>
    </dxf>
    <dxf>
      <numFmt numFmtId="166" formatCode="0.0E+00"/>
    </dxf>
    <dxf>
      <numFmt numFmtId="4" formatCode="#,##0.00"/>
    </dxf>
    <dxf>
      <numFmt numFmtId="168" formatCode="#,##0.0"/>
    </dxf>
    <dxf>
      <numFmt numFmtId="3" formatCode="#,##0"/>
    </dxf>
    <dxf>
      <numFmt numFmtId="166" formatCode="0.0E+00"/>
    </dxf>
    <dxf>
      <font>
        <b/>
        <i val="0"/>
      </font>
      <fill>
        <patternFill>
          <bgColor theme="0" tint="-0.24994659260841701"/>
        </patternFill>
      </fill>
    </dxf>
    <dxf>
      <numFmt numFmtId="166" formatCode="0.0E+00"/>
    </dxf>
    <dxf>
      <numFmt numFmtId="4" formatCode="#,##0.00"/>
    </dxf>
    <dxf>
      <numFmt numFmtId="3" formatCode="#,##0"/>
    </dxf>
    <dxf>
      <font>
        <b/>
        <i val="0"/>
      </font>
      <fill>
        <patternFill>
          <bgColor theme="0" tint="-0.24994659260841701"/>
        </patternFill>
      </fill>
    </dxf>
    <dxf>
      <numFmt numFmtId="166" formatCode="0.0E+00"/>
    </dxf>
    <dxf>
      <numFmt numFmtId="168" formatCode="#,##0.0"/>
    </dxf>
    <dxf>
      <numFmt numFmtId="166" formatCode="0.0E+00"/>
    </dxf>
    <dxf>
      <numFmt numFmtId="4" formatCode="#,##0.00"/>
    </dxf>
    <dxf>
      <numFmt numFmtId="3" formatCode="#,##0"/>
    </dxf>
    <dxf>
      <numFmt numFmtId="166" formatCode="0.0E+00"/>
    </dxf>
    <dxf>
      <numFmt numFmtId="168" formatCode="#,##0.0"/>
    </dxf>
    <dxf>
      <font>
        <b/>
        <i val="0"/>
      </font>
      <fill>
        <patternFill>
          <bgColor theme="0" tint="-0.24994659260841701"/>
        </patternFill>
      </fill>
    </dxf>
    <dxf>
      <numFmt numFmtId="166" formatCode="0.0E+00"/>
    </dxf>
    <dxf>
      <numFmt numFmtId="3" formatCode="#,##0"/>
    </dxf>
    <dxf>
      <numFmt numFmtId="168" formatCode="#,##0.0"/>
    </dxf>
    <dxf>
      <numFmt numFmtId="4" formatCode="#,##0.00"/>
    </dxf>
    <dxf>
      <numFmt numFmtId="166" formatCode="0.0E+00"/>
    </dxf>
    <dxf>
      <numFmt numFmtId="166" formatCode="0.0E+00"/>
    </dxf>
    <dxf>
      <font>
        <b/>
        <i val="0"/>
      </font>
      <fill>
        <patternFill>
          <bgColor theme="0" tint="-0.24994659260841701"/>
        </patternFill>
      </fill>
    </dxf>
    <dxf>
      <font>
        <b/>
        <i val="0"/>
      </font>
      <fill>
        <patternFill>
          <bgColor theme="0" tint="-0.24994659260841701"/>
        </patternFill>
      </fill>
    </dxf>
    <dxf>
      <numFmt numFmtId="168" formatCode="#,##0.0"/>
    </dxf>
    <dxf>
      <numFmt numFmtId="166" formatCode="0.0E+00"/>
    </dxf>
    <dxf>
      <numFmt numFmtId="3" formatCode="#,##0"/>
    </dxf>
    <dxf>
      <numFmt numFmtId="4" formatCode="#,##0.00"/>
    </dxf>
    <dxf>
      <numFmt numFmtId="166" formatCode="0.0E+00"/>
    </dxf>
    <dxf>
      <numFmt numFmtId="166" formatCode="0.0E+00"/>
    </dxf>
    <dxf>
      <numFmt numFmtId="168" formatCode="#,##0.0"/>
    </dxf>
    <dxf>
      <numFmt numFmtId="4" formatCode="#,##0.00"/>
    </dxf>
    <dxf>
      <numFmt numFmtId="3" formatCode="#,##0"/>
    </dxf>
    <dxf>
      <numFmt numFmtId="166" formatCode="0.0E+00"/>
    </dxf>
    <dxf>
      <font>
        <b/>
        <i val="0"/>
      </font>
      <fill>
        <patternFill>
          <bgColor theme="0" tint="-0.24994659260841701"/>
        </patternFill>
      </fill>
    </dxf>
    <dxf>
      <font>
        <b/>
        <i val="0"/>
      </font>
      <fill>
        <patternFill>
          <bgColor theme="0" tint="-0.24994659260841701"/>
        </patternFill>
      </fill>
    </dxf>
    <dxf>
      <numFmt numFmtId="166" formatCode="0.0E+00"/>
    </dxf>
    <dxf>
      <numFmt numFmtId="166" formatCode="0.0E+00"/>
    </dxf>
    <dxf>
      <numFmt numFmtId="4" formatCode="#,##0.00"/>
    </dxf>
    <dxf>
      <numFmt numFmtId="168" formatCode="#,##0.0"/>
    </dxf>
    <dxf>
      <numFmt numFmtId="3" formatCode="#,##0"/>
    </dxf>
    <dxf>
      <numFmt numFmtId="4" formatCode="#,##0.00"/>
    </dxf>
    <dxf>
      <numFmt numFmtId="168" formatCode="#,##0.0"/>
    </dxf>
    <dxf>
      <numFmt numFmtId="3" formatCode="#,##0"/>
    </dxf>
    <dxf>
      <numFmt numFmtId="166" formatCode="0.0E+00"/>
    </dxf>
    <dxf>
      <font>
        <b/>
        <i val="0"/>
      </font>
      <fill>
        <patternFill>
          <bgColor theme="0" tint="-0.24994659260841701"/>
        </patternFill>
      </fill>
    </dxf>
    <dxf>
      <numFmt numFmtId="166" formatCode="0.0E+00"/>
    </dxf>
    <dxf>
      <numFmt numFmtId="166" formatCode="0.0E+00"/>
    </dxf>
    <dxf>
      <font>
        <b/>
        <i val="0"/>
      </font>
      <fill>
        <patternFill>
          <bgColor theme="0" tint="-0.24994659260841701"/>
        </patternFill>
      </fill>
    </dxf>
    <dxf>
      <numFmt numFmtId="4" formatCode="#,##0.00"/>
    </dxf>
    <dxf>
      <numFmt numFmtId="166" formatCode="0.0E+00"/>
    </dxf>
    <dxf>
      <numFmt numFmtId="168" formatCode="#,##0.0"/>
    </dxf>
    <dxf>
      <numFmt numFmtId="3" formatCode="#,##0"/>
    </dxf>
    <dxf>
      <numFmt numFmtId="166" formatCode="0.0E+00"/>
    </dxf>
    <dxf>
      <font>
        <b/>
        <i val="0"/>
      </font>
      <fill>
        <patternFill>
          <bgColor theme="0" tint="-0.24994659260841701"/>
        </patternFill>
      </fill>
    </dxf>
    <dxf>
      <numFmt numFmtId="168" formatCode="#,##0.0"/>
    </dxf>
    <dxf>
      <numFmt numFmtId="4" formatCode="#,##0.00"/>
    </dxf>
    <dxf>
      <numFmt numFmtId="166" formatCode="0.0E+00"/>
    </dxf>
    <dxf>
      <numFmt numFmtId="3" formatCode="#,##0"/>
    </dxf>
    <dxf>
      <numFmt numFmtId="166" formatCode="0.0E+00"/>
    </dxf>
    <dxf>
      <numFmt numFmtId="4" formatCode="#,##0.00"/>
    </dxf>
    <dxf>
      <numFmt numFmtId="168" formatCode="#,##0.0"/>
    </dxf>
    <dxf>
      <numFmt numFmtId="3" formatCode="#,##0"/>
    </dxf>
    <dxf>
      <numFmt numFmtId="166" formatCode="0.0E+00"/>
    </dxf>
    <dxf>
      <font>
        <b/>
        <i val="0"/>
      </font>
      <fill>
        <patternFill>
          <bgColor theme="0" tint="-0.24994659260841701"/>
        </patternFill>
      </fill>
    </dxf>
    <dxf>
      <font>
        <b/>
        <i val="0"/>
      </font>
      <fill>
        <patternFill>
          <bgColor theme="0" tint="-0.24994659260841701"/>
        </patternFill>
      </fill>
    </dxf>
    <dxf>
      <numFmt numFmtId="166" formatCode="0.0E+00"/>
    </dxf>
    <dxf>
      <numFmt numFmtId="3" formatCode="#,##0"/>
    </dxf>
    <dxf>
      <numFmt numFmtId="168" formatCode="#,##0.0"/>
    </dxf>
    <dxf>
      <numFmt numFmtId="4" formatCode="#,##0.00"/>
    </dxf>
    <dxf>
      <numFmt numFmtId="166" formatCode="0.0E+00"/>
    </dxf>
    <dxf>
      <font>
        <b/>
        <i val="0"/>
      </font>
      <fill>
        <patternFill>
          <bgColor theme="0" tint="-0.24994659260841701"/>
        </patternFill>
      </fill>
    </dxf>
    <dxf>
      <numFmt numFmtId="166" formatCode="0.0E+00"/>
    </dxf>
    <dxf>
      <numFmt numFmtId="3" formatCode="#,##0"/>
    </dxf>
    <dxf>
      <numFmt numFmtId="168" formatCode="#,##0.0"/>
    </dxf>
    <dxf>
      <numFmt numFmtId="4" formatCode="#,##0.00"/>
    </dxf>
    <dxf>
      <numFmt numFmtId="166" formatCode="0.0E+00"/>
    </dxf>
    <dxf>
      <numFmt numFmtId="168" formatCode="#,##0.0"/>
    </dxf>
    <dxf>
      <font>
        <b/>
        <i val="0"/>
      </font>
      <fill>
        <patternFill>
          <bgColor theme="0" tint="-0.24994659260841701"/>
        </patternFill>
      </fill>
    </dxf>
    <dxf>
      <numFmt numFmtId="166" formatCode="0.0E+00"/>
    </dxf>
    <dxf>
      <numFmt numFmtId="3" formatCode="#,##0"/>
    </dxf>
    <dxf>
      <numFmt numFmtId="4" formatCode="#,##0.00"/>
    </dxf>
    <dxf>
      <numFmt numFmtId="166" formatCode="0.0E+00"/>
    </dxf>
    <dxf>
      <numFmt numFmtId="166" formatCode="0.0E+00"/>
    </dxf>
    <dxf>
      <numFmt numFmtId="3" formatCode="#,##0"/>
    </dxf>
    <dxf>
      <numFmt numFmtId="168" formatCode="#,##0.0"/>
    </dxf>
    <dxf>
      <numFmt numFmtId="4" formatCode="#,##0.00"/>
    </dxf>
    <dxf>
      <numFmt numFmtId="166" formatCode="0.0E+00"/>
    </dxf>
    <dxf>
      <font>
        <b/>
        <i val="0"/>
      </font>
      <fill>
        <patternFill>
          <bgColor theme="0" tint="-0.24994659260841701"/>
        </patternFill>
      </fill>
    </dxf>
    <dxf>
      <numFmt numFmtId="166" formatCode="0.0E+00"/>
    </dxf>
    <dxf>
      <font>
        <b/>
        <i val="0"/>
      </font>
      <fill>
        <patternFill>
          <bgColor theme="0" tint="-0.24994659260841701"/>
        </patternFill>
      </fill>
    </dxf>
    <dxf>
      <numFmt numFmtId="166" formatCode="0.0E+00"/>
    </dxf>
    <dxf>
      <numFmt numFmtId="3" formatCode="#,##0"/>
    </dxf>
    <dxf>
      <numFmt numFmtId="168" formatCode="#,##0.0"/>
    </dxf>
    <dxf>
      <numFmt numFmtId="4" formatCode="#,##0.00"/>
    </dxf>
    <dxf>
      <font>
        <b/>
        <i val="0"/>
      </font>
      <fill>
        <patternFill>
          <bgColor theme="0" tint="-0.24994659260841701"/>
        </patternFill>
      </fill>
    </dxf>
    <dxf>
      <numFmt numFmtId="166" formatCode="0.0E+00"/>
    </dxf>
    <dxf>
      <numFmt numFmtId="3" formatCode="#,##0"/>
    </dxf>
    <dxf>
      <numFmt numFmtId="168" formatCode="#,##0.0"/>
    </dxf>
    <dxf>
      <numFmt numFmtId="4" formatCode="#,##0.00"/>
    </dxf>
    <dxf>
      <numFmt numFmtId="166" formatCode="0.0E+00"/>
    </dxf>
    <dxf>
      <font>
        <b/>
        <i val="0"/>
      </font>
      <fill>
        <patternFill>
          <bgColor theme="0" tint="-0.24994659260841701"/>
        </patternFill>
      </fill>
    </dxf>
    <dxf>
      <numFmt numFmtId="166" formatCode="0.0E+00"/>
    </dxf>
    <dxf>
      <numFmt numFmtId="168" formatCode="#,##0.0"/>
    </dxf>
    <dxf>
      <numFmt numFmtId="4" formatCode="#,##0.00"/>
    </dxf>
    <dxf>
      <numFmt numFmtId="3" formatCode="#,##0"/>
    </dxf>
    <dxf>
      <numFmt numFmtId="166" formatCode="0.0E+00"/>
    </dxf>
    <dxf>
      <font>
        <b/>
        <i val="0"/>
      </font>
      <fill>
        <patternFill>
          <bgColor theme="0" tint="-0.24994659260841701"/>
        </patternFill>
      </fill>
    </dxf>
    <dxf>
      <numFmt numFmtId="166" formatCode="0.0E+00"/>
    </dxf>
    <dxf>
      <numFmt numFmtId="3" formatCode="#,##0"/>
    </dxf>
    <dxf>
      <numFmt numFmtId="168" formatCode="#,##0.0"/>
    </dxf>
    <dxf>
      <numFmt numFmtId="4" formatCode="#,##0.00"/>
    </dxf>
    <dxf>
      <numFmt numFmtId="166" formatCode="0.0E+00"/>
    </dxf>
    <dxf>
      <font>
        <b/>
        <i val="0"/>
      </font>
      <fill>
        <patternFill>
          <bgColor theme="0" tint="-0.24994659260841701"/>
        </patternFill>
      </fill>
    </dxf>
    <dxf>
      <numFmt numFmtId="3" formatCode="#,##0"/>
    </dxf>
    <dxf>
      <numFmt numFmtId="168" formatCode="#,##0.0"/>
    </dxf>
    <dxf>
      <numFmt numFmtId="4" formatCode="#,##0.00"/>
    </dxf>
    <dxf>
      <numFmt numFmtId="166" formatCode="0.0E+00"/>
    </dxf>
    <dxf>
      <numFmt numFmtId="166" formatCode="0.0E+00"/>
    </dxf>
    <dxf>
      <numFmt numFmtId="3" formatCode="#,##0"/>
    </dxf>
    <dxf>
      <font>
        <b/>
        <i val="0"/>
      </font>
      <fill>
        <patternFill>
          <bgColor theme="0" tint="-0.24994659260841701"/>
        </patternFill>
      </fill>
    </dxf>
    <dxf>
      <numFmt numFmtId="166" formatCode="0.0E+00"/>
    </dxf>
    <dxf>
      <numFmt numFmtId="168" formatCode="#,##0.0"/>
    </dxf>
    <dxf>
      <numFmt numFmtId="4" formatCode="#,##0.00"/>
    </dxf>
    <dxf>
      <numFmt numFmtId="166" formatCode="0.0E+00"/>
    </dxf>
    <dxf>
      <numFmt numFmtId="4" formatCode="#,##0.00"/>
    </dxf>
    <dxf>
      <numFmt numFmtId="168" formatCode="#,##0.0"/>
    </dxf>
    <dxf>
      <numFmt numFmtId="3" formatCode="#,##0"/>
    </dxf>
    <dxf>
      <font>
        <b/>
        <i val="0"/>
      </font>
      <fill>
        <patternFill>
          <bgColor theme="0" tint="-0.24994659260841701"/>
        </patternFill>
      </fill>
    </dxf>
    <dxf>
      <numFmt numFmtId="166" formatCode="0.0E+00"/>
    </dxf>
    <dxf>
      <numFmt numFmtId="166" formatCode="0.0E+00"/>
    </dxf>
    <dxf>
      <numFmt numFmtId="166" formatCode="0.0E+00"/>
    </dxf>
    <dxf>
      <numFmt numFmtId="4" formatCode="#,##0.00"/>
    </dxf>
    <dxf>
      <numFmt numFmtId="168" formatCode="#,##0.0"/>
    </dxf>
    <dxf>
      <numFmt numFmtId="3" formatCode="#,##0"/>
    </dxf>
    <dxf>
      <numFmt numFmtId="166" formatCode="0.0E+00"/>
    </dxf>
    <dxf>
      <font>
        <b/>
        <i val="0"/>
      </font>
      <fill>
        <patternFill>
          <bgColor theme="0" tint="-0.24994659260841701"/>
        </patternFill>
      </fill>
    </dxf>
    <dxf>
      <font>
        <b/>
        <i val="0"/>
      </font>
      <fill>
        <patternFill>
          <bgColor theme="0" tint="-0.24994659260841701"/>
        </patternFill>
      </fill>
    </dxf>
    <dxf>
      <numFmt numFmtId="166" formatCode="0.0E+00"/>
    </dxf>
    <dxf>
      <numFmt numFmtId="4" formatCode="#,##0.00"/>
    </dxf>
    <dxf>
      <numFmt numFmtId="168" formatCode="#,##0.0"/>
    </dxf>
    <dxf>
      <numFmt numFmtId="3" formatCode="#,##0"/>
    </dxf>
    <dxf>
      <numFmt numFmtId="166" formatCode="0.0E+00"/>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numFmt numFmtId="166" formatCode="0.0E+00"/>
    </dxf>
    <dxf>
      <numFmt numFmtId="4" formatCode="#,##0.00"/>
    </dxf>
    <dxf>
      <numFmt numFmtId="168" formatCode="#,##0.0"/>
    </dxf>
    <dxf>
      <numFmt numFmtId="3" formatCode="#,##0"/>
    </dxf>
    <dxf>
      <numFmt numFmtId="166" formatCode="0.0E+00"/>
    </dxf>
    <dxf>
      <numFmt numFmtId="166" formatCode="0.0E+00"/>
    </dxf>
    <dxf>
      <numFmt numFmtId="166" formatCode="0.0E+00"/>
    </dxf>
    <dxf>
      <numFmt numFmtId="4" formatCode="#,##0.00"/>
    </dxf>
    <dxf>
      <font>
        <b/>
        <i val="0"/>
      </font>
      <fill>
        <patternFill>
          <bgColor theme="0" tint="-0.24994659260841701"/>
        </patternFill>
      </fill>
    </dxf>
    <dxf>
      <numFmt numFmtId="3" formatCode="#,##0"/>
    </dxf>
    <dxf>
      <numFmt numFmtId="168" formatCode="#,##0.0"/>
    </dxf>
    <dxf>
      <numFmt numFmtId="166" formatCode="0.0E+00"/>
    </dxf>
    <dxf>
      <font>
        <b/>
        <i val="0"/>
      </font>
      <fill>
        <patternFill>
          <bgColor theme="0" tint="-0.24994659260841701"/>
        </patternFill>
      </fill>
    </dxf>
    <dxf>
      <numFmt numFmtId="166" formatCode="0.0E+00"/>
    </dxf>
    <dxf>
      <numFmt numFmtId="4" formatCode="#,##0.00"/>
    </dxf>
    <dxf>
      <numFmt numFmtId="168" formatCode="#,##0.0"/>
    </dxf>
    <dxf>
      <numFmt numFmtId="3" formatCode="#,##0"/>
    </dxf>
    <dxf>
      <numFmt numFmtId="3" formatCode="#,##0"/>
    </dxf>
    <dxf>
      <numFmt numFmtId="168" formatCode="#,##0.0"/>
    </dxf>
    <dxf>
      <numFmt numFmtId="4" formatCode="#,##0.00"/>
    </dxf>
    <dxf>
      <numFmt numFmtId="166" formatCode="0.0E+00"/>
    </dxf>
    <dxf>
      <font>
        <b/>
        <i val="0"/>
      </font>
      <fill>
        <patternFill>
          <bgColor theme="0" tint="-0.24994659260841701"/>
        </patternFill>
      </fill>
    </dxf>
    <dxf>
      <numFmt numFmtId="166" formatCode="0.0E+00"/>
    </dxf>
    <dxf>
      <numFmt numFmtId="166" formatCode="0.0E+00"/>
    </dxf>
    <dxf>
      <numFmt numFmtId="168" formatCode="#,##0.0"/>
    </dxf>
    <dxf>
      <numFmt numFmtId="4" formatCode="#,##0.00"/>
    </dxf>
    <dxf>
      <numFmt numFmtId="3" formatCode="#,##0"/>
    </dxf>
    <dxf>
      <font>
        <b/>
        <i val="0"/>
      </font>
      <fill>
        <patternFill>
          <bgColor theme="0" tint="-0.24994659260841701"/>
        </patternFill>
      </fill>
    </dxf>
    <dxf>
      <numFmt numFmtId="166" formatCode="0.0E+00"/>
    </dxf>
    <dxf>
      <numFmt numFmtId="168" formatCode="#,##0.0"/>
    </dxf>
    <dxf>
      <numFmt numFmtId="3" formatCode="#,##0"/>
    </dxf>
    <dxf>
      <numFmt numFmtId="166" formatCode="0.0E+00"/>
    </dxf>
    <dxf>
      <font>
        <b/>
        <i val="0"/>
      </font>
      <fill>
        <patternFill>
          <bgColor theme="0" tint="-0.24994659260841701"/>
        </patternFill>
      </fill>
    </dxf>
    <dxf>
      <numFmt numFmtId="4" formatCode="#,##0.00"/>
    </dxf>
    <dxf>
      <numFmt numFmtId="166" formatCode="0.0E+00"/>
    </dxf>
    <dxf>
      <numFmt numFmtId="4" formatCode="#,##0.00"/>
    </dxf>
    <dxf>
      <numFmt numFmtId="166" formatCode="0.0E+00"/>
    </dxf>
    <dxf>
      <font>
        <b/>
        <i val="0"/>
      </font>
      <fill>
        <patternFill>
          <bgColor theme="0" tint="-0.24994659260841701"/>
        </patternFill>
      </fill>
    </dxf>
    <dxf>
      <numFmt numFmtId="166" formatCode="0.0E+00"/>
    </dxf>
    <dxf>
      <numFmt numFmtId="3" formatCode="#,##0"/>
    </dxf>
    <dxf>
      <numFmt numFmtId="168" formatCode="#,##0.0"/>
    </dxf>
    <dxf>
      <numFmt numFmtId="166" formatCode="0.0E+00"/>
    </dxf>
    <dxf>
      <numFmt numFmtId="168" formatCode="#,##0.0"/>
    </dxf>
    <dxf>
      <font>
        <b/>
        <i val="0"/>
      </font>
      <fill>
        <patternFill>
          <bgColor theme="0" tint="-0.24994659260841701"/>
        </patternFill>
      </fill>
    </dxf>
    <dxf>
      <numFmt numFmtId="166" formatCode="0.0E+00"/>
    </dxf>
    <dxf>
      <numFmt numFmtId="3" formatCode="#,##0"/>
    </dxf>
    <dxf>
      <numFmt numFmtId="4" formatCode="#,##0.00"/>
    </dxf>
    <dxf>
      <numFmt numFmtId="166" formatCode="0.0E+00"/>
    </dxf>
    <dxf>
      <numFmt numFmtId="3" formatCode="#,##0"/>
    </dxf>
    <dxf>
      <numFmt numFmtId="4" formatCode="#,##0.00"/>
    </dxf>
    <dxf>
      <numFmt numFmtId="168" formatCode="#,##0.0"/>
    </dxf>
    <dxf>
      <font>
        <b/>
        <i val="0"/>
      </font>
      <fill>
        <patternFill>
          <bgColor theme="0" tint="-0.24994659260841701"/>
        </patternFill>
      </fill>
    </dxf>
    <dxf>
      <numFmt numFmtId="166" formatCode="0.0E+00"/>
    </dxf>
    <dxf>
      <numFmt numFmtId="166" formatCode="0.0E+00"/>
    </dxf>
    <dxf>
      <numFmt numFmtId="4" formatCode="#,##0.00"/>
    </dxf>
    <dxf>
      <numFmt numFmtId="168" formatCode="#,##0.0"/>
    </dxf>
    <dxf>
      <numFmt numFmtId="166" formatCode="0.0E+00"/>
    </dxf>
    <dxf>
      <font>
        <b/>
        <i val="0"/>
      </font>
      <fill>
        <patternFill>
          <bgColor theme="0" tint="-0.24994659260841701"/>
        </patternFill>
      </fill>
    </dxf>
    <dxf>
      <numFmt numFmtId="3" formatCode="#,##0"/>
    </dxf>
    <dxf>
      <numFmt numFmtId="166" formatCode="0.0E+00"/>
    </dxf>
    <dxf>
      <font>
        <b/>
        <i val="0"/>
      </font>
      <fill>
        <patternFill>
          <bgColor theme="0" tint="-0.24994659260841701"/>
        </patternFill>
      </fill>
    </dxf>
    <dxf>
      <numFmt numFmtId="3" formatCode="#,##0"/>
    </dxf>
    <dxf>
      <numFmt numFmtId="168" formatCode="#,##0.0"/>
    </dxf>
    <dxf>
      <numFmt numFmtId="4" formatCode="#,##0.00"/>
    </dxf>
    <dxf>
      <numFmt numFmtId="166" formatCode="0.0E+00"/>
    </dxf>
    <dxf>
      <font>
        <b/>
        <i val="0"/>
      </font>
      <fill>
        <patternFill>
          <bgColor theme="0" tint="-0.24994659260841701"/>
        </patternFill>
      </fill>
    </dxf>
    <dxf>
      <numFmt numFmtId="168" formatCode="#,##0.0"/>
    </dxf>
    <dxf>
      <numFmt numFmtId="3" formatCode="#,##0"/>
    </dxf>
    <dxf>
      <font>
        <b/>
        <i val="0"/>
      </font>
      <fill>
        <patternFill>
          <bgColor theme="0" tint="-0.24994659260841701"/>
        </patternFill>
      </fill>
    </dxf>
    <dxf>
      <numFmt numFmtId="166" formatCode="0.0E+00"/>
    </dxf>
    <dxf>
      <numFmt numFmtId="4" formatCode="#,##0.00"/>
    </dxf>
    <dxf>
      <numFmt numFmtId="166" formatCode="0.0E+00"/>
    </dxf>
    <dxf>
      <font>
        <b/>
        <i val="0"/>
      </font>
      <fill>
        <patternFill>
          <bgColor theme="0" tint="-0.24994659260841701"/>
        </patternFill>
      </fill>
    </dxf>
    <dxf>
      <numFmt numFmtId="4" formatCode="#,##0.00"/>
    </dxf>
    <dxf>
      <numFmt numFmtId="168" formatCode="#,##0.0"/>
    </dxf>
    <dxf>
      <numFmt numFmtId="3" formatCode="#,##0"/>
    </dxf>
    <dxf>
      <numFmt numFmtId="166" formatCode="0.0E+00"/>
    </dxf>
    <dxf>
      <font>
        <b/>
        <i val="0"/>
      </font>
      <fill>
        <patternFill>
          <bgColor theme="0" tint="-0.24994659260841701"/>
        </patternFill>
      </fill>
    </dxf>
    <dxf>
      <numFmt numFmtId="166" formatCode="0.0E+00"/>
    </dxf>
    <dxf>
      <numFmt numFmtId="4" formatCode="#,##0.00"/>
    </dxf>
    <dxf>
      <numFmt numFmtId="166" formatCode="0.0E+00"/>
    </dxf>
    <dxf>
      <font>
        <b/>
        <i val="0"/>
      </font>
      <fill>
        <patternFill>
          <bgColor theme="0" tint="-0.24994659260841701"/>
        </patternFill>
      </fill>
    </dxf>
    <dxf>
      <numFmt numFmtId="166" formatCode="0.0E+00"/>
    </dxf>
    <dxf>
      <numFmt numFmtId="3" formatCode="#,##0"/>
    </dxf>
    <dxf>
      <numFmt numFmtId="168" formatCode="#,##0.0"/>
    </dxf>
    <dxf>
      <numFmt numFmtId="166" formatCode="0.0E+00"/>
    </dxf>
    <dxf>
      <font>
        <b/>
        <i val="0"/>
      </font>
      <fill>
        <patternFill>
          <bgColor theme="0" tint="-0.24994659260841701"/>
        </patternFill>
      </fill>
    </dxf>
    <dxf>
      <numFmt numFmtId="3" formatCode="#,##0"/>
    </dxf>
    <dxf>
      <numFmt numFmtId="168" formatCode="#,##0.0"/>
    </dxf>
    <dxf>
      <numFmt numFmtId="166" formatCode="0.0E+00"/>
    </dxf>
    <dxf>
      <numFmt numFmtId="4" formatCode="#,##0.00"/>
    </dxf>
    <dxf>
      <numFmt numFmtId="168" formatCode="#,##0.0"/>
    </dxf>
    <dxf>
      <numFmt numFmtId="4" formatCode="#,##0.00"/>
    </dxf>
    <dxf>
      <numFmt numFmtId="166" formatCode="0.0E+00"/>
    </dxf>
    <dxf>
      <font>
        <b/>
        <i val="0"/>
      </font>
      <fill>
        <patternFill>
          <bgColor theme="0" tint="-0.24994659260841701"/>
        </patternFill>
      </fill>
    </dxf>
    <dxf>
      <numFmt numFmtId="166" formatCode="0.0E+00"/>
    </dxf>
    <dxf>
      <numFmt numFmtId="3" formatCode="#,##0"/>
    </dxf>
    <dxf>
      <font>
        <b/>
        <i val="0"/>
      </font>
      <fill>
        <patternFill>
          <bgColor theme="0" tint="-0.24994659260841701"/>
        </patternFill>
      </fill>
    </dxf>
    <dxf>
      <numFmt numFmtId="168" formatCode="#,##0.0"/>
    </dxf>
    <dxf>
      <numFmt numFmtId="166" formatCode="0.0E+00"/>
    </dxf>
    <dxf>
      <numFmt numFmtId="3" formatCode="#,##0"/>
    </dxf>
    <dxf>
      <numFmt numFmtId="4" formatCode="#,##0.00"/>
    </dxf>
    <dxf>
      <numFmt numFmtId="166" formatCode="0.0E+00"/>
    </dxf>
    <dxf>
      <numFmt numFmtId="3" formatCode="#,##0"/>
    </dxf>
    <dxf>
      <numFmt numFmtId="168" formatCode="#,##0.0"/>
    </dxf>
    <dxf>
      <numFmt numFmtId="4" formatCode="#,##0.00"/>
    </dxf>
    <dxf>
      <font>
        <b/>
        <i val="0"/>
      </font>
      <fill>
        <patternFill>
          <bgColor theme="0" tint="-0.24994659260841701"/>
        </patternFill>
      </fill>
    </dxf>
    <dxf>
      <numFmt numFmtId="166" formatCode="0.0E+00"/>
    </dxf>
    <dxf>
      <numFmt numFmtId="166" formatCode="0.0E+00"/>
    </dxf>
    <dxf>
      <font>
        <b/>
        <i val="0"/>
      </font>
      <fill>
        <patternFill>
          <bgColor theme="0" tint="-0.24994659260841701"/>
        </patternFill>
      </fill>
    </dxf>
    <dxf>
      <numFmt numFmtId="166" formatCode="0.0E+00"/>
    </dxf>
    <dxf>
      <numFmt numFmtId="166" formatCode="0.0E+00"/>
    </dxf>
    <dxf>
      <numFmt numFmtId="4" formatCode="#,##0.00"/>
    </dxf>
    <dxf>
      <numFmt numFmtId="168" formatCode="#,##0.0"/>
    </dxf>
    <dxf>
      <numFmt numFmtId="3" formatCode="#,##0"/>
    </dxf>
    <dxf>
      <numFmt numFmtId="166" formatCode="0.0E+00"/>
    </dxf>
    <dxf>
      <numFmt numFmtId="4" formatCode="#,##0.00"/>
    </dxf>
    <dxf>
      <numFmt numFmtId="168" formatCode="#,##0.0"/>
    </dxf>
    <dxf>
      <numFmt numFmtId="3" formatCode="#,##0"/>
    </dxf>
    <dxf>
      <numFmt numFmtId="166" formatCode="0.0E+00"/>
    </dxf>
    <dxf>
      <font>
        <b/>
        <i val="0"/>
      </font>
      <fill>
        <patternFill>
          <bgColor theme="0" tint="-0.24994659260841701"/>
        </patternFill>
      </fill>
    </dxf>
    <dxf>
      <numFmt numFmtId="168" formatCode="#,##0.0"/>
    </dxf>
    <dxf>
      <numFmt numFmtId="3" formatCode="#,##0"/>
    </dxf>
    <dxf>
      <numFmt numFmtId="166" formatCode="0.0E+00"/>
    </dxf>
    <dxf>
      <font>
        <b/>
        <i val="0"/>
      </font>
      <fill>
        <patternFill>
          <bgColor theme="0" tint="-0.24994659260841701"/>
        </patternFill>
      </fill>
    </dxf>
    <dxf>
      <numFmt numFmtId="4" formatCode="#,##0.00"/>
    </dxf>
    <dxf>
      <numFmt numFmtId="166" formatCode="0.0E+00"/>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numFmt numFmtId="168" formatCode="#,##0.0"/>
    </dxf>
    <dxf>
      <numFmt numFmtId="3" formatCode="#,##0"/>
    </dxf>
    <dxf>
      <numFmt numFmtId="166" formatCode="0.0E+00"/>
    </dxf>
    <dxf>
      <font>
        <b/>
        <i val="0"/>
      </font>
      <fill>
        <patternFill>
          <bgColor theme="0" tint="-0.24994659260841701"/>
        </patternFill>
      </fill>
    </dxf>
    <dxf>
      <numFmt numFmtId="166" formatCode="0.0E+00"/>
    </dxf>
    <dxf>
      <numFmt numFmtId="4" formatCode="#,##0.00"/>
    </dxf>
    <dxf>
      <font>
        <b/>
        <i val="0"/>
      </font>
      <fill>
        <patternFill>
          <bgColor theme="0" tint="-0.24994659260841701"/>
        </patternFill>
      </fill>
    </dxf>
    <dxf>
      <numFmt numFmtId="3" formatCode="#,##0"/>
    </dxf>
    <dxf>
      <numFmt numFmtId="168" formatCode="#,##0.0"/>
    </dxf>
    <dxf>
      <numFmt numFmtId="4" formatCode="#,##0.00"/>
    </dxf>
    <dxf>
      <numFmt numFmtId="166" formatCode="0.0E+00"/>
    </dxf>
  </dxfs>
  <tableStyles count="0" defaultTableStyle="TableStyleMedium2" defaultPivotStyle="PivotStyleLight16"/>
  <colors>
    <mruColors>
      <color rgb="FFF15A2B"/>
      <color rgb="FFF04B18"/>
      <color rgb="FFD43D0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3079750</xdr:colOff>
          <xdr:row>9</xdr:row>
          <xdr:rowOff>127000</xdr:rowOff>
        </xdr:from>
        <xdr:to>
          <xdr:col>0</xdr:col>
          <xdr:colOff>4870450</xdr:colOff>
          <xdr:row>19</xdr:row>
          <xdr:rowOff>69850</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000-000001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18</xdr:col>
      <xdr:colOff>600075</xdr:colOff>
      <xdr:row>2</xdr:row>
      <xdr:rowOff>0</xdr:rowOff>
    </xdr:from>
    <xdr:to>
      <xdr:col>21</xdr:col>
      <xdr:colOff>1238250</xdr:colOff>
      <xdr:row>5</xdr:row>
      <xdr:rowOff>161925</xdr:rowOff>
    </xdr:to>
    <xdr:sp macro="" textlink="">
      <xdr:nvSpPr>
        <xdr:cNvPr id="2" name="Button 1" hidden="1">
          <a:extLst>
            <a:ext uri="{63B3BB69-23CF-44E3-9099-C40C66FF867C}">
              <a14:compatExt xmlns:a14="http://schemas.microsoft.com/office/drawing/2010/main" spid="_x0000_s3073"/>
            </a:ext>
            <a:ext uri="{FF2B5EF4-FFF2-40B4-BE49-F238E27FC236}">
              <a16:creationId xmlns:a16="http://schemas.microsoft.com/office/drawing/2014/main" id="{7A5DE0DE-A06A-44DD-BE99-A65C2CBCCA03}"/>
            </a:ext>
          </a:extLst>
        </xdr:cNvPr>
        <xdr:cNvSpPr/>
      </xdr:nvSpPr>
      <xdr:spPr bwMode="auto">
        <a:xfrm>
          <a:off x="13808075" y="374650"/>
          <a:ext cx="2435225" cy="542925"/>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Click here to autofill respirator APF and glove PF values.</a:t>
          </a:r>
        </a:p>
      </xdr:txBody>
    </xdr:sp>
    <xdr:clientData fPrintsWithSheet="0"/>
  </xdr:twoCellAnchor>
  <xdr:twoCellAnchor>
    <xdr:from>
      <xdr:col>18</xdr:col>
      <xdr:colOff>600075</xdr:colOff>
      <xdr:row>2</xdr:row>
      <xdr:rowOff>0</xdr:rowOff>
    </xdr:from>
    <xdr:to>
      <xdr:col>21</xdr:col>
      <xdr:colOff>1238250</xdr:colOff>
      <xdr:row>5</xdr:row>
      <xdr:rowOff>161925</xdr:rowOff>
    </xdr:to>
    <xdr:sp macro="" textlink="">
      <xdr:nvSpPr>
        <xdr:cNvPr id="5" name="Button 1" hidden="1">
          <a:extLst>
            <a:ext uri="{63B3BB69-23CF-44E3-9099-C40C66FF867C}">
              <a14:compatExt xmlns:a14="http://schemas.microsoft.com/office/drawing/2010/main" spid="_x0000_s3073"/>
            </a:ext>
            <a:ext uri="{FF2B5EF4-FFF2-40B4-BE49-F238E27FC236}">
              <a16:creationId xmlns:a16="http://schemas.microsoft.com/office/drawing/2014/main" id="{420663BF-38B9-440B-A86B-C44CC2BC3782}"/>
            </a:ext>
          </a:extLst>
        </xdr:cNvPr>
        <xdr:cNvSpPr/>
      </xdr:nvSpPr>
      <xdr:spPr bwMode="auto">
        <a:xfrm>
          <a:off x="13808075" y="374650"/>
          <a:ext cx="2435225" cy="542925"/>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Click here to autofill respirator APF and glove PF values.</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2</xdr:col>
      <xdr:colOff>51593</xdr:colOff>
      <xdr:row>1</xdr:row>
      <xdr:rowOff>0</xdr:rowOff>
    </xdr:from>
    <xdr:to>
      <xdr:col>5</xdr:col>
      <xdr:colOff>690561</xdr:colOff>
      <xdr:row>5</xdr:row>
      <xdr:rowOff>47626</xdr:rowOff>
    </xdr:to>
    <xdr:sp macro="" textlink="">
      <xdr:nvSpPr>
        <xdr:cNvPr id="8" name="TextBox 3">
          <a:extLst>
            <a:ext uri="{FF2B5EF4-FFF2-40B4-BE49-F238E27FC236}">
              <a16:creationId xmlns:a16="http://schemas.microsoft.com/office/drawing/2014/main" id="{2C23DA81-FB55-437E-9302-C2E02213CA4A}"/>
            </a:ext>
          </a:extLst>
        </xdr:cNvPr>
        <xdr:cNvSpPr txBox="1"/>
      </xdr:nvSpPr>
      <xdr:spPr>
        <a:xfrm>
          <a:off x="527843" y="171450"/>
          <a:ext cx="3848893" cy="1038226"/>
        </a:xfrm>
        <a:prstGeom prst="rect">
          <a:avLst/>
        </a:prstGeom>
        <a:solidFill>
          <a:schemeClr val="lt1"/>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900" b="1"/>
            <a:t>Key</a:t>
          </a:r>
          <a:endParaRPr lang="en-US" sz="900"/>
        </a:p>
        <a:p>
          <a:r>
            <a:rPr lang="en-US" sz="900"/>
            <a:t>             =  </a:t>
          </a:r>
          <a:r>
            <a:rPr lang="en-US" sz="900">
              <a:solidFill>
                <a:srgbClr val="FF0000"/>
              </a:solidFill>
            </a:rPr>
            <a:t>Risk</a:t>
          </a:r>
          <a:r>
            <a:rPr lang="en-US" sz="900"/>
            <a:t>.  </a:t>
          </a:r>
          <a:r>
            <a:rPr lang="en-US" sz="900" baseline="0"/>
            <a:t>       </a:t>
          </a:r>
          <a:r>
            <a:rPr lang="en-US" sz="900" i="1"/>
            <a:t>MOE</a:t>
          </a:r>
          <a:r>
            <a:rPr lang="en-US" sz="900" i="1" baseline="-25000"/>
            <a:t>acute or chronic</a:t>
          </a:r>
          <a:r>
            <a:rPr lang="en-US" sz="900" i="1" baseline="0"/>
            <a:t> &lt; MOE</a:t>
          </a:r>
          <a:r>
            <a:rPr lang="en-US" sz="900" i="1" baseline="-25000"/>
            <a:t>benchmark</a:t>
          </a:r>
          <a:endParaRPr lang="en-US" sz="900" i="0" baseline="0"/>
        </a:p>
        <a:p>
          <a:r>
            <a:rPr lang="en-US" sz="900" i="0" baseline="0"/>
            <a:t>                                  </a:t>
          </a:r>
          <a:r>
            <a:rPr lang="en-US" sz="900" i="1" baseline="0"/>
            <a:t>Cancer Risk &gt; Benchmark Cancer Risk Level</a:t>
          </a:r>
        </a:p>
        <a:p>
          <a:endParaRPr lang="en-US" sz="900" i="1" baseline="0"/>
        </a:p>
        <a:p>
          <a:pPr marL="0" marR="0" indent="0" defTabSz="914400" eaLnBrk="1" fontAlgn="auto" latinLnBrk="0" hangingPunct="1">
            <a:lnSpc>
              <a:spcPct val="100000"/>
            </a:lnSpc>
            <a:spcBef>
              <a:spcPts val="0"/>
            </a:spcBef>
            <a:spcAft>
              <a:spcPts val="0"/>
            </a:spcAft>
            <a:buClrTx/>
            <a:buSzTx/>
            <a:buFontTx/>
            <a:buNone/>
            <a:tabLst/>
            <a:defRPr/>
          </a:pPr>
          <a:r>
            <a:rPr lang="en-US" sz="900">
              <a:solidFill>
                <a:schemeClr val="dk1"/>
              </a:solidFill>
              <a:latin typeface="+mn-lt"/>
              <a:ea typeface="+mn-ea"/>
              <a:cs typeface="+mn-cs"/>
            </a:rPr>
            <a:t>             =  </a:t>
          </a:r>
          <a:r>
            <a:rPr lang="en-US" sz="900">
              <a:solidFill>
                <a:srgbClr val="339933"/>
              </a:solidFill>
              <a:latin typeface="+mn-lt"/>
              <a:ea typeface="+mn-ea"/>
              <a:cs typeface="+mn-cs"/>
            </a:rPr>
            <a:t>No Risk</a:t>
          </a:r>
          <a:r>
            <a:rPr lang="en-US" sz="900">
              <a:solidFill>
                <a:schemeClr val="dk1"/>
              </a:solidFill>
              <a:latin typeface="+mn-lt"/>
              <a:ea typeface="+mn-ea"/>
              <a:cs typeface="+mn-cs"/>
            </a:rPr>
            <a:t>.   </a:t>
          </a:r>
          <a:r>
            <a:rPr lang="en-US" sz="900" i="1">
              <a:solidFill>
                <a:schemeClr val="dk1"/>
              </a:solidFill>
              <a:latin typeface="+mn-lt"/>
              <a:ea typeface="+mn-ea"/>
              <a:cs typeface="+mn-cs"/>
            </a:rPr>
            <a:t>MOE</a:t>
          </a:r>
          <a:r>
            <a:rPr lang="en-US" sz="900" i="1" baseline="-25000">
              <a:solidFill>
                <a:schemeClr val="dk1"/>
              </a:solidFill>
              <a:latin typeface="+mn-lt"/>
              <a:ea typeface="+mn-ea"/>
              <a:cs typeface="+mn-cs"/>
            </a:rPr>
            <a:t>acute or chronic</a:t>
          </a:r>
          <a:r>
            <a:rPr lang="en-US" sz="900" i="1" baseline="0">
              <a:solidFill>
                <a:schemeClr val="dk1"/>
              </a:solidFill>
              <a:latin typeface="+mn-lt"/>
              <a:ea typeface="+mn-ea"/>
              <a:cs typeface="+mn-cs"/>
            </a:rPr>
            <a:t> ≥ MOE</a:t>
          </a:r>
          <a:r>
            <a:rPr lang="en-US" sz="900" i="1" baseline="-25000">
              <a:solidFill>
                <a:schemeClr val="dk1"/>
              </a:solidFill>
              <a:latin typeface="+mn-lt"/>
              <a:ea typeface="+mn-ea"/>
              <a:cs typeface="+mn-cs"/>
            </a:rPr>
            <a:t>benchmark</a:t>
          </a:r>
          <a:endParaRPr lang="en-US" sz="900" i="0" baseline="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900" i="0" baseline="0">
              <a:solidFill>
                <a:schemeClr val="dk1"/>
              </a:solidFill>
              <a:latin typeface="+mn-lt"/>
              <a:ea typeface="+mn-ea"/>
              <a:cs typeface="+mn-cs"/>
            </a:rPr>
            <a:t>                                  </a:t>
          </a:r>
          <a:r>
            <a:rPr lang="en-US" sz="900" i="1" baseline="0">
              <a:solidFill>
                <a:schemeClr val="dk1"/>
              </a:solidFill>
              <a:latin typeface="+mn-lt"/>
              <a:ea typeface="+mn-ea"/>
              <a:cs typeface="+mn-cs"/>
            </a:rPr>
            <a:t>Cancer Risk ≤ Benchmark Cancer Risk Level</a:t>
          </a:r>
          <a:endParaRPr lang="en-US" sz="900" i="1">
            <a:solidFill>
              <a:schemeClr val="dk1"/>
            </a:solidFill>
            <a:latin typeface="+mn-lt"/>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png"/><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36C0C-19D2-460F-9AB0-AA066F41611D}">
  <sheetPr codeName="Sheet1"/>
  <dimension ref="A1:E23"/>
  <sheetViews>
    <sheetView showGridLines="0" tabSelected="1" zoomScaleNormal="100" workbookViewId="0"/>
  </sheetViews>
  <sheetFormatPr defaultRowHeight="14.5" x14ac:dyDescent="0.35"/>
  <cols>
    <col min="1" max="1" width="112.7265625" style="2" customWidth="1"/>
    <col min="2" max="16384" width="8.7265625" style="2"/>
  </cols>
  <sheetData>
    <row r="1" spans="1:5" x14ac:dyDescent="0.35">
      <c r="A1" s="1" t="s">
        <v>0</v>
      </c>
    </row>
    <row r="2" spans="1:5" x14ac:dyDescent="0.35">
      <c r="A2" s="1" t="s">
        <v>550</v>
      </c>
    </row>
    <row r="5" spans="1:5" ht="50.5" customHeight="1" x14ac:dyDescent="0.35">
      <c r="A5" s="3" t="s">
        <v>551</v>
      </c>
      <c r="B5" s="3"/>
      <c r="C5" s="3"/>
      <c r="D5" s="3"/>
      <c r="E5" s="3"/>
    </row>
    <row r="6" spans="1:5" x14ac:dyDescent="0.35">
      <c r="A6" s="4"/>
    </row>
    <row r="7" spans="1:5" ht="17.5" x14ac:dyDescent="0.35">
      <c r="A7" s="5" t="s">
        <v>552</v>
      </c>
    </row>
    <row r="8" spans="1:5" ht="15.5" x14ac:dyDescent="0.35">
      <c r="A8" s="6"/>
    </row>
    <row r="9" spans="1:5" x14ac:dyDescent="0.35">
      <c r="A9" s="4"/>
    </row>
    <row r="10" spans="1:5" x14ac:dyDescent="0.35">
      <c r="A10" s="4"/>
    </row>
    <row r="11" spans="1:5" x14ac:dyDescent="0.35">
      <c r="A11" s="4"/>
    </row>
    <row r="12" spans="1:5" x14ac:dyDescent="0.35">
      <c r="A12" s="4"/>
    </row>
    <row r="13" spans="1:5" x14ac:dyDescent="0.35">
      <c r="A13" s="4"/>
    </row>
    <row r="14" spans="1:5" x14ac:dyDescent="0.35">
      <c r="A14" s="4"/>
    </row>
    <row r="17" spans="1:1" ht="15.5" x14ac:dyDescent="0.35">
      <c r="A17" s="7"/>
    </row>
    <row r="22" spans="1:1" ht="15.5" x14ac:dyDescent="0.35">
      <c r="A22" s="8"/>
    </row>
    <row r="23" spans="1:1" ht="15.5" x14ac:dyDescent="0.35">
      <c r="A23" s="8" t="s">
        <v>549</v>
      </c>
    </row>
  </sheetData>
  <sheetProtection sheet="1" objects="1" scenarios="1" formatCells="0" formatColumns="0" formatRows="0" sort="0" autoFilter="0"/>
  <pageMargins left="0.7" right="0.7" top="0.75" bottom="0.75" header="0.3" footer="0.3"/>
  <pageSetup orientation="portrait" r:id="rId1"/>
  <drawing r:id="rId2"/>
  <legacyDrawing r:id="rId3"/>
  <oleObjects>
    <mc:AlternateContent xmlns:mc="http://schemas.openxmlformats.org/markup-compatibility/2006">
      <mc:Choice Requires="x14">
        <oleObject progId="PBrush" shapeId="6145" r:id="rId4">
          <objectPr defaultSize="0" autoPict="0" r:id="rId5">
            <anchor moveWithCells="1" sizeWithCells="1">
              <from>
                <xdr:col>0</xdr:col>
                <xdr:colOff>3079750</xdr:colOff>
                <xdr:row>9</xdr:row>
                <xdr:rowOff>127000</xdr:rowOff>
              </from>
              <to>
                <xdr:col>0</xdr:col>
                <xdr:colOff>4870450</xdr:colOff>
                <xdr:row>19</xdr:row>
                <xdr:rowOff>69850</xdr:rowOff>
              </to>
            </anchor>
          </objectPr>
        </oleObject>
      </mc:Choice>
      <mc:Fallback>
        <oleObject progId="PBrush" shapeId="614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EE2DC-4EE0-4CF0-B381-0DF510B873A9}">
  <sheetPr codeName="Sheet14">
    <tabColor theme="1"/>
  </sheetPr>
  <dimension ref="A1:N67"/>
  <sheetViews>
    <sheetView workbookViewId="0"/>
  </sheetViews>
  <sheetFormatPr defaultRowHeight="14.5" x14ac:dyDescent="0.35"/>
  <cols>
    <col min="1" max="1" width="8.7265625" style="2"/>
    <col min="2" max="2" width="100.54296875" style="2" bestFit="1" customWidth="1"/>
    <col min="3" max="3" width="56" style="2" bestFit="1" customWidth="1"/>
    <col min="4" max="5" width="8.7265625" style="2"/>
    <col min="6" max="6" width="36.1796875" style="2" customWidth="1"/>
    <col min="7" max="8" width="8.7265625" style="2"/>
    <col min="9" max="9" width="37.1796875" style="2" customWidth="1"/>
    <col min="10" max="10" width="11.26953125" style="2" customWidth="1"/>
    <col min="11" max="11" width="11" style="2" bestFit="1" customWidth="1"/>
    <col min="12" max="12" width="8.7265625" style="2"/>
    <col min="13" max="13" width="48.26953125" style="2" customWidth="1"/>
    <col min="14" max="16384" width="8.7265625" style="2"/>
  </cols>
  <sheetData>
    <row r="1" spans="1:13" x14ac:dyDescent="0.35">
      <c r="B1" s="433" t="s">
        <v>353</v>
      </c>
      <c r="C1" s="434" t="s">
        <v>60</v>
      </c>
      <c r="F1" s="435" t="s">
        <v>354</v>
      </c>
      <c r="I1" s="435" t="s">
        <v>355</v>
      </c>
    </row>
    <row r="2" spans="1:13" x14ac:dyDescent="0.35">
      <c r="B2" s="436" t="s">
        <v>319</v>
      </c>
      <c r="C2" s="437" t="s">
        <v>291</v>
      </c>
      <c r="F2" s="436" t="s">
        <v>356</v>
      </c>
      <c r="I2" s="438">
        <v>5</v>
      </c>
    </row>
    <row r="3" spans="1:13" x14ac:dyDescent="0.35">
      <c r="B3" s="436" t="s">
        <v>322</v>
      </c>
      <c r="C3" s="437" t="s">
        <v>291</v>
      </c>
      <c r="F3" s="436" t="s">
        <v>357</v>
      </c>
      <c r="I3" s="438">
        <v>10</v>
      </c>
    </row>
    <row r="4" spans="1:13" x14ac:dyDescent="0.35">
      <c r="B4" s="436" t="s">
        <v>323</v>
      </c>
      <c r="C4" s="437" t="s">
        <v>291</v>
      </c>
      <c r="F4" s="439"/>
      <c r="I4" s="438">
        <v>20</v>
      </c>
    </row>
    <row r="5" spans="1:13" x14ac:dyDescent="0.35">
      <c r="B5" s="436" t="s">
        <v>324</v>
      </c>
      <c r="C5" s="437" t="s">
        <v>291</v>
      </c>
      <c r="F5" s="439"/>
      <c r="I5" s="439"/>
    </row>
    <row r="6" spans="1:13" x14ac:dyDescent="0.35">
      <c r="A6" s="440"/>
      <c r="B6" s="436" t="s">
        <v>455</v>
      </c>
      <c r="C6" s="437" t="s">
        <v>291</v>
      </c>
    </row>
    <row r="7" spans="1:13" x14ac:dyDescent="0.35">
      <c r="A7" s="440"/>
      <c r="B7" s="436" t="s">
        <v>121</v>
      </c>
      <c r="C7" s="437" t="s">
        <v>120</v>
      </c>
    </row>
    <row r="8" spans="1:13" x14ac:dyDescent="0.35">
      <c r="A8" s="440"/>
      <c r="B8" s="436" t="s">
        <v>61</v>
      </c>
      <c r="C8" s="437" t="s">
        <v>120</v>
      </c>
    </row>
    <row r="9" spans="1:13" ht="15" thickBot="1" x14ac:dyDescent="0.4">
      <c r="A9" s="440"/>
      <c r="B9" s="436" t="s">
        <v>126</v>
      </c>
      <c r="C9" s="437" t="s">
        <v>120</v>
      </c>
      <c r="I9" s="441"/>
    </row>
    <row r="10" spans="1:13" x14ac:dyDescent="0.35">
      <c r="A10" s="440"/>
      <c r="B10" s="436" t="s">
        <v>456</v>
      </c>
      <c r="C10" s="437" t="s">
        <v>120</v>
      </c>
      <c r="F10" s="442" t="s">
        <v>358</v>
      </c>
      <c r="I10" s="441"/>
    </row>
    <row r="11" spans="1:13" ht="15" thickBot="1" x14ac:dyDescent="0.4">
      <c r="A11" s="440"/>
      <c r="B11" s="436" t="s">
        <v>132</v>
      </c>
      <c r="C11" s="437" t="s">
        <v>293</v>
      </c>
      <c r="F11" s="443" t="s">
        <v>303</v>
      </c>
    </row>
    <row r="12" spans="1:13" x14ac:dyDescent="0.35">
      <c r="A12" s="440"/>
      <c r="B12" s="436" t="s">
        <v>134</v>
      </c>
      <c r="C12" s="437" t="s">
        <v>293</v>
      </c>
      <c r="I12" s="444" t="s">
        <v>15</v>
      </c>
    </row>
    <row r="13" spans="1:13" x14ac:dyDescent="0.35">
      <c r="B13" s="436" t="s">
        <v>457</v>
      </c>
      <c r="C13" s="437" t="s">
        <v>293</v>
      </c>
      <c r="F13" s="445"/>
      <c r="I13" s="446" t="s">
        <v>68</v>
      </c>
    </row>
    <row r="14" spans="1:13" ht="15" thickBot="1" x14ac:dyDescent="0.4">
      <c r="B14" s="436" t="s">
        <v>517</v>
      </c>
      <c r="C14" s="437" t="s">
        <v>293</v>
      </c>
      <c r="I14" s="447" t="s">
        <v>80</v>
      </c>
      <c r="M14" s="448"/>
    </row>
    <row r="15" spans="1:13" x14ac:dyDescent="0.35">
      <c r="B15" s="436" t="s">
        <v>139</v>
      </c>
      <c r="C15" s="437" t="s">
        <v>294</v>
      </c>
      <c r="F15" s="444" t="s">
        <v>359</v>
      </c>
    </row>
    <row r="16" spans="1:13" x14ac:dyDescent="0.35">
      <c r="B16" s="436" t="s">
        <v>141</v>
      </c>
      <c r="C16" s="437" t="s">
        <v>294</v>
      </c>
      <c r="F16" s="446">
        <v>0.5</v>
      </c>
      <c r="I16" s="389"/>
    </row>
    <row r="17" spans="2:14" ht="15" thickBot="1" x14ac:dyDescent="0.4">
      <c r="B17" s="436" t="s">
        <v>145</v>
      </c>
      <c r="C17" s="437" t="s">
        <v>294</v>
      </c>
      <c r="F17" s="447">
        <v>0.99</v>
      </c>
      <c r="I17" s="449" t="s">
        <v>360</v>
      </c>
      <c r="J17" s="449"/>
      <c r="K17" s="449"/>
      <c r="L17" s="449"/>
      <c r="N17" s="389"/>
    </row>
    <row r="18" spans="2:14" ht="15" thickBot="1" x14ac:dyDescent="0.4">
      <c r="B18" s="436" t="s">
        <v>459</v>
      </c>
      <c r="C18" s="437" t="s">
        <v>294</v>
      </c>
      <c r="I18" s="449"/>
      <c r="J18" s="449"/>
      <c r="K18" s="449"/>
      <c r="L18" s="449"/>
    </row>
    <row r="19" spans="2:14" x14ac:dyDescent="0.35">
      <c r="B19" s="436" t="s">
        <v>518</v>
      </c>
      <c r="C19" s="437" t="s">
        <v>294</v>
      </c>
      <c r="F19" s="450" t="s">
        <v>361</v>
      </c>
      <c r="I19" s="451" t="s">
        <v>362</v>
      </c>
      <c r="J19" s="452">
        <v>96.94</v>
      </c>
      <c r="K19" s="453" t="s">
        <v>278</v>
      </c>
      <c r="L19" s="449"/>
    </row>
    <row r="20" spans="2:14" ht="15" thickBot="1" x14ac:dyDescent="0.4">
      <c r="B20" s="436" t="s">
        <v>499</v>
      </c>
      <c r="C20" s="437" t="s">
        <v>295</v>
      </c>
      <c r="F20" s="454">
        <v>10</v>
      </c>
      <c r="I20" s="455" t="s">
        <v>279</v>
      </c>
      <c r="J20" s="456">
        <v>24.45</v>
      </c>
      <c r="K20" s="457" t="s">
        <v>280</v>
      </c>
      <c r="L20" s="449"/>
    </row>
    <row r="21" spans="2:14" ht="15" thickBot="1" x14ac:dyDescent="0.4">
      <c r="B21" s="436" t="s">
        <v>498</v>
      </c>
      <c r="C21" s="437" t="s">
        <v>295</v>
      </c>
      <c r="F21" s="454">
        <v>25</v>
      </c>
      <c r="I21" s="449"/>
      <c r="J21" s="449"/>
      <c r="K21" s="449"/>
      <c r="L21" s="449"/>
    </row>
    <row r="22" spans="2:14" x14ac:dyDescent="0.35">
      <c r="B22" s="436" t="s">
        <v>497</v>
      </c>
      <c r="C22" s="437" t="s">
        <v>295</v>
      </c>
      <c r="F22" s="454">
        <v>50</v>
      </c>
      <c r="I22" s="451" t="s">
        <v>363</v>
      </c>
      <c r="J22" s="452">
        <v>200</v>
      </c>
      <c r="K22" s="453" t="s">
        <v>364</v>
      </c>
      <c r="L22" s="449"/>
    </row>
    <row r="23" spans="2:14" ht="15" thickBot="1" x14ac:dyDescent="0.4">
      <c r="B23" s="436" t="s">
        <v>466</v>
      </c>
      <c r="C23" s="437" t="s">
        <v>295</v>
      </c>
      <c r="F23" s="454">
        <v>1000</v>
      </c>
      <c r="I23" s="455"/>
      <c r="J23" s="458">
        <f>J22/J20*MW</f>
        <v>792.96523517382411</v>
      </c>
      <c r="K23" s="457" t="s">
        <v>365</v>
      </c>
      <c r="L23" s="449"/>
    </row>
    <row r="24" spans="2:14" ht="15" thickBot="1" x14ac:dyDescent="0.4">
      <c r="B24" s="436" t="s">
        <v>467</v>
      </c>
      <c r="C24" s="437" t="s">
        <v>295</v>
      </c>
      <c r="F24" s="459">
        <v>10000</v>
      </c>
      <c r="I24" s="460"/>
      <c r="J24" s="461"/>
      <c r="K24" s="460"/>
      <c r="L24" s="449"/>
    </row>
    <row r="25" spans="2:14" x14ac:dyDescent="0.35">
      <c r="B25" s="436" t="s">
        <v>468</v>
      </c>
      <c r="C25" s="437" t="s">
        <v>295</v>
      </c>
      <c r="I25" s="462" t="s">
        <v>366</v>
      </c>
      <c r="J25" s="463"/>
      <c r="K25" s="464"/>
      <c r="L25" s="449"/>
    </row>
    <row r="26" spans="2:14" ht="15" thickBot="1" x14ac:dyDescent="0.4">
      <c r="B26" s="436" t="s">
        <v>471</v>
      </c>
      <c r="C26" s="437" t="s">
        <v>295</v>
      </c>
      <c r="F26" s="439"/>
      <c r="I26" s="465" t="s">
        <v>367</v>
      </c>
      <c r="J26" s="466">
        <v>1000</v>
      </c>
      <c r="K26" s="467" t="s">
        <v>368</v>
      </c>
      <c r="L26" s="449"/>
    </row>
    <row r="27" spans="2:14" ht="15" thickBot="1" x14ac:dyDescent="0.4">
      <c r="B27" s="436" t="s">
        <v>472</v>
      </c>
      <c r="C27" s="437" t="s">
        <v>295</v>
      </c>
      <c r="I27" s="449"/>
      <c r="J27" s="449"/>
      <c r="K27" s="449"/>
      <c r="L27" s="449"/>
      <c r="M27" s="448"/>
    </row>
    <row r="28" spans="2:14" ht="16" thickBot="1" x14ac:dyDescent="0.4">
      <c r="B28" s="436" t="s">
        <v>473</v>
      </c>
      <c r="C28" s="437" t="s">
        <v>295</v>
      </c>
      <c r="I28" s="468" t="s">
        <v>369</v>
      </c>
      <c r="J28" s="469" t="s">
        <v>370</v>
      </c>
      <c r="K28" s="469" t="s">
        <v>371</v>
      </c>
      <c r="L28" s="469" t="s">
        <v>372</v>
      </c>
      <c r="M28" s="448"/>
    </row>
    <row r="29" spans="2:14" ht="15.5" thickTop="1" thickBot="1" x14ac:dyDescent="0.4">
      <c r="B29" s="436" t="s">
        <v>474</v>
      </c>
      <c r="C29" s="437" t="s">
        <v>295</v>
      </c>
      <c r="I29" s="470" t="s">
        <v>373</v>
      </c>
      <c r="J29" s="471" t="s">
        <v>374</v>
      </c>
      <c r="K29" s="471">
        <v>8</v>
      </c>
      <c r="L29" s="472" t="s">
        <v>375</v>
      </c>
    </row>
    <row r="30" spans="2:14" ht="15" thickBot="1" x14ac:dyDescent="0.4">
      <c r="B30" s="436" t="s">
        <v>475</v>
      </c>
      <c r="C30" s="437" t="s">
        <v>295</v>
      </c>
      <c r="I30" s="470" t="s">
        <v>376</v>
      </c>
      <c r="J30" s="471" t="s">
        <v>377</v>
      </c>
      <c r="K30" s="471">
        <v>24</v>
      </c>
      <c r="L30" s="472" t="s">
        <v>375</v>
      </c>
    </row>
    <row r="31" spans="2:14" ht="15" thickBot="1" x14ac:dyDescent="0.4">
      <c r="B31" s="436" t="s">
        <v>485</v>
      </c>
      <c r="C31" s="437" t="s">
        <v>295</v>
      </c>
      <c r="I31" s="470" t="s">
        <v>378</v>
      </c>
      <c r="J31" s="471" t="s">
        <v>379</v>
      </c>
      <c r="K31" s="471">
        <v>250</v>
      </c>
      <c r="L31" s="472" t="s">
        <v>380</v>
      </c>
    </row>
    <row r="32" spans="2:14" ht="15" thickBot="1" x14ac:dyDescent="0.4">
      <c r="B32" s="436" t="s">
        <v>486</v>
      </c>
      <c r="C32" s="437" t="s">
        <v>295</v>
      </c>
      <c r="I32" s="470" t="s">
        <v>381</v>
      </c>
      <c r="J32" s="471" t="s">
        <v>382</v>
      </c>
      <c r="K32" s="473">
        <v>365</v>
      </c>
      <c r="L32" s="472" t="s">
        <v>380</v>
      </c>
    </row>
    <row r="33" spans="2:12" ht="15" thickBot="1" x14ac:dyDescent="0.4">
      <c r="B33" s="436" t="s">
        <v>487</v>
      </c>
      <c r="C33" s="437" t="s">
        <v>295</v>
      </c>
      <c r="I33" s="470" t="s">
        <v>383</v>
      </c>
      <c r="J33" s="471" t="s">
        <v>384</v>
      </c>
      <c r="K33" s="471">
        <v>31</v>
      </c>
      <c r="L33" s="472" t="s">
        <v>385</v>
      </c>
    </row>
    <row r="34" spans="2:12" ht="15" thickBot="1" x14ac:dyDescent="0.4">
      <c r="B34" s="436" t="s">
        <v>488</v>
      </c>
      <c r="C34" s="437" t="s">
        <v>295</v>
      </c>
      <c r="I34" s="470" t="s">
        <v>386</v>
      </c>
      <c r="J34" s="471" t="s">
        <v>387</v>
      </c>
      <c r="K34" s="471">
        <v>40</v>
      </c>
      <c r="L34" s="472" t="s">
        <v>385</v>
      </c>
    </row>
    <row r="35" spans="2:12" ht="15" thickBot="1" x14ac:dyDescent="0.4">
      <c r="B35" s="436" t="s">
        <v>489</v>
      </c>
      <c r="C35" s="437" t="s">
        <v>295</v>
      </c>
      <c r="I35" s="470" t="s">
        <v>388</v>
      </c>
      <c r="J35" s="471" t="s">
        <v>389</v>
      </c>
      <c r="K35" s="471">
        <v>78</v>
      </c>
      <c r="L35" s="472" t="s">
        <v>385</v>
      </c>
    </row>
    <row r="36" spans="2:12" ht="26.5" thickBot="1" x14ac:dyDescent="0.4">
      <c r="B36" s="436" t="s">
        <v>490</v>
      </c>
      <c r="C36" s="437" t="s">
        <v>295</v>
      </c>
      <c r="I36" s="470" t="s">
        <v>390</v>
      </c>
      <c r="J36" s="471" t="s">
        <v>391</v>
      </c>
      <c r="K36" s="474">
        <f>WY_mid*EF_C*ED_24</f>
        <v>271560</v>
      </c>
      <c r="L36" s="472" t="s">
        <v>392</v>
      </c>
    </row>
    <row r="37" spans="2:12" ht="26.5" thickBot="1" x14ac:dyDescent="0.4">
      <c r="B37" s="436" t="s">
        <v>496</v>
      </c>
      <c r="C37" s="437" t="s">
        <v>299</v>
      </c>
      <c r="I37" s="470" t="s">
        <v>393</v>
      </c>
      <c r="J37" s="471" t="s">
        <v>394</v>
      </c>
      <c r="K37" s="474">
        <f>WY_high*EF_C*ED_24</f>
        <v>350400</v>
      </c>
      <c r="L37" s="472" t="s">
        <v>392</v>
      </c>
    </row>
    <row r="38" spans="2:12" ht="15" thickBot="1" x14ac:dyDescent="0.4">
      <c r="B38" s="436" t="s">
        <v>495</v>
      </c>
      <c r="C38" s="437" t="s">
        <v>299</v>
      </c>
      <c r="I38" s="470" t="s">
        <v>395</v>
      </c>
      <c r="J38" s="471" t="s">
        <v>396</v>
      </c>
      <c r="K38" s="474">
        <f>LT*EF_C*ED_24</f>
        <v>683280</v>
      </c>
      <c r="L38" s="472" t="s">
        <v>392</v>
      </c>
    </row>
    <row r="39" spans="2:12" ht="26.5" thickBot="1" x14ac:dyDescent="0.4">
      <c r="B39" s="436" t="s">
        <v>500</v>
      </c>
      <c r="C39" s="437" t="s">
        <v>299</v>
      </c>
      <c r="I39" s="470" t="s">
        <v>397</v>
      </c>
      <c r="J39" s="471" t="s">
        <v>398</v>
      </c>
      <c r="K39" s="475">
        <f>EF_C*WY_mid</f>
        <v>11315</v>
      </c>
      <c r="L39" s="472" t="s">
        <v>399</v>
      </c>
    </row>
    <row r="40" spans="2:12" ht="26.5" thickBot="1" x14ac:dyDescent="0.4">
      <c r="B40" s="436" t="s">
        <v>501</v>
      </c>
      <c r="C40" s="437" t="s">
        <v>299</v>
      </c>
      <c r="I40" s="470" t="s">
        <v>400</v>
      </c>
      <c r="J40" s="471" t="s">
        <v>401</v>
      </c>
      <c r="K40" s="475">
        <f>EF_C*WY_high</f>
        <v>14600</v>
      </c>
      <c r="L40" s="472" t="s">
        <v>399</v>
      </c>
    </row>
    <row r="41" spans="2:12" ht="15" thickBot="1" x14ac:dyDescent="0.4">
      <c r="B41" s="436" t="s">
        <v>502</v>
      </c>
      <c r="C41" s="437" t="s">
        <v>299</v>
      </c>
      <c r="I41" s="470" t="s">
        <v>402</v>
      </c>
      <c r="J41" s="471" t="s">
        <v>403</v>
      </c>
      <c r="K41" s="476">
        <f>EF_C*LT</f>
        <v>28470</v>
      </c>
      <c r="L41" s="472" t="s">
        <v>399</v>
      </c>
    </row>
    <row r="42" spans="2:12" ht="26.5" thickBot="1" x14ac:dyDescent="0.4">
      <c r="B42" s="436" t="s">
        <v>536</v>
      </c>
      <c r="C42" s="437" t="s">
        <v>299</v>
      </c>
      <c r="I42" s="470" t="s">
        <v>404</v>
      </c>
      <c r="J42" s="471" t="s">
        <v>405</v>
      </c>
      <c r="K42" s="476">
        <f>1.25/0.6125</f>
        <v>2.0408163265306123</v>
      </c>
      <c r="L42" s="472"/>
    </row>
    <row r="43" spans="2:12" ht="26.5" thickBot="1" x14ac:dyDescent="0.4">
      <c r="B43" s="436" t="s">
        <v>505</v>
      </c>
      <c r="C43" s="477" t="s">
        <v>300</v>
      </c>
      <c r="I43" s="470" t="s">
        <v>406</v>
      </c>
      <c r="J43" s="471" t="s">
        <v>407</v>
      </c>
      <c r="K43" s="474">
        <f>30*ED_24</f>
        <v>720</v>
      </c>
      <c r="L43" s="472" t="s">
        <v>392</v>
      </c>
    </row>
    <row r="44" spans="2:12" ht="15" thickBot="1" x14ac:dyDescent="0.4">
      <c r="B44" s="436" t="s">
        <v>534</v>
      </c>
      <c r="C44" s="477" t="s">
        <v>300</v>
      </c>
      <c r="I44" s="470" t="s">
        <v>408</v>
      </c>
      <c r="J44" s="471" t="s">
        <v>409</v>
      </c>
      <c r="K44" s="474">
        <v>22</v>
      </c>
      <c r="L44" s="472" t="s">
        <v>380</v>
      </c>
    </row>
    <row r="45" spans="2:12" ht="15" thickBot="1" x14ac:dyDescent="0.4">
      <c r="B45" s="436" t="s">
        <v>506</v>
      </c>
      <c r="C45" s="477" t="s">
        <v>300</v>
      </c>
      <c r="I45" s="470" t="s">
        <v>410</v>
      </c>
      <c r="J45" s="471" t="s">
        <v>411</v>
      </c>
      <c r="K45" s="471">
        <v>24</v>
      </c>
      <c r="L45" s="472" t="s">
        <v>375</v>
      </c>
    </row>
    <row r="46" spans="2:12" x14ac:dyDescent="0.35">
      <c r="B46" s="436" t="s">
        <v>507</v>
      </c>
      <c r="C46" s="477" t="s">
        <v>300</v>
      </c>
    </row>
    <row r="47" spans="2:12" x14ac:dyDescent="0.35">
      <c r="B47" s="436" t="s">
        <v>509</v>
      </c>
      <c r="C47" s="477" t="s">
        <v>300</v>
      </c>
    </row>
    <row r="48" spans="2:12" x14ac:dyDescent="0.35">
      <c r="B48" s="436" t="s">
        <v>508</v>
      </c>
      <c r="C48" s="477" t="s">
        <v>300</v>
      </c>
    </row>
    <row r="49" spans="2:3" x14ac:dyDescent="0.35">
      <c r="B49" s="436" t="s">
        <v>509</v>
      </c>
      <c r="C49" s="477" t="s">
        <v>300</v>
      </c>
    </row>
    <row r="50" spans="2:3" x14ac:dyDescent="0.35">
      <c r="B50" s="436" t="s">
        <v>512</v>
      </c>
      <c r="C50" s="437" t="s">
        <v>298</v>
      </c>
    </row>
    <row r="51" spans="2:3" x14ac:dyDescent="0.35">
      <c r="B51" s="436" t="s">
        <v>511</v>
      </c>
      <c r="C51" s="437" t="s">
        <v>298</v>
      </c>
    </row>
    <row r="52" spans="2:3" x14ac:dyDescent="0.35">
      <c r="B52" s="436" t="s">
        <v>535</v>
      </c>
      <c r="C52" s="437" t="s">
        <v>298</v>
      </c>
    </row>
    <row r="53" spans="2:3" x14ac:dyDescent="0.35">
      <c r="B53" s="436" t="s">
        <v>513</v>
      </c>
      <c r="C53" s="437" t="s">
        <v>298</v>
      </c>
    </row>
    <row r="54" spans="2:3" x14ac:dyDescent="0.35">
      <c r="B54" s="436" t="s">
        <v>335</v>
      </c>
      <c r="C54" s="437" t="s">
        <v>297</v>
      </c>
    </row>
    <row r="55" spans="2:3" x14ac:dyDescent="0.35">
      <c r="B55" s="436" t="s">
        <v>336</v>
      </c>
      <c r="C55" s="437" t="s">
        <v>297</v>
      </c>
    </row>
    <row r="56" spans="2:3" x14ac:dyDescent="0.35">
      <c r="B56" s="436" t="s">
        <v>514</v>
      </c>
      <c r="C56" s="437" t="s">
        <v>297</v>
      </c>
    </row>
    <row r="57" spans="2:3" x14ac:dyDescent="0.35">
      <c r="B57" s="436" t="s">
        <v>537</v>
      </c>
      <c r="C57" s="437" t="s">
        <v>296</v>
      </c>
    </row>
    <row r="58" spans="2:3" x14ac:dyDescent="0.35">
      <c r="B58" s="436" t="s">
        <v>538</v>
      </c>
      <c r="C58" s="437" t="s">
        <v>296</v>
      </c>
    </row>
    <row r="59" spans="2:3" x14ac:dyDescent="0.35">
      <c r="B59" s="436" t="s">
        <v>181</v>
      </c>
      <c r="C59" s="437" t="s">
        <v>296</v>
      </c>
    </row>
    <row r="60" spans="2:3" x14ac:dyDescent="0.35">
      <c r="B60" s="436" t="s">
        <v>539</v>
      </c>
      <c r="C60" s="437" t="s">
        <v>296</v>
      </c>
    </row>
    <row r="61" spans="2:3" x14ac:dyDescent="0.35">
      <c r="B61" s="436" t="s">
        <v>175</v>
      </c>
      <c r="C61" s="437" t="s">
        <v>175</v>
      </c>
    </row>
    <row r="62" spans="2:3" x14ac:dyDescent="0.35">
      <c r="B62" s="436" t="s">
        <v>216</v>
      </c>
      <c r="C62" s="437" t="s">
        <v>301</v>
      </c>
    </row>
    <row r="63" spans="2:3" x14ac:dyDescent="0.35">
      <c r="B63" s="436" t="s">
        <v>213</v>
      </c>
      <c r="C63" s="477" t="s">
        <v>213</v>
      </c>
    </row>
    <row r="64" spans="2:3" x14ac:dyDescent="0.35">
      <c r="B64" s="436" t="s">
        <v>219</v>
      </c>
      <c r="C64" s="437" t="s">
        <v>302</v>
      </c>
    </row>
    <row r="65" spans="2:3" x14ac:dyDescent="0.35">
      <c r="B65" s="436" t="s">
        <v>221</v>
      </c>
      <c r="C65" s="437" t="s">
        <v>302</v>
      </c>
    </row>
    <row r="66" spans="2:3" x14ac:dyDescent="0.35">
      <c r="B66" s="436" t="s">
        <v>223</v>
      </c>
      <c r="C66" s="437" t="s">
        <v>302</v>
      </c>
    </row>
    <row r="67" spans="2:3" x14ac:dyDescent="0.35">
      <c r="B67" s="436" t="s">
        <v>531</v>
      </c>
      <c r="C67" s="437" t="s">
        <v>302</v>
      </c>
    </row>
  </sheetData>
  <sheetProtection sheet="1" objects="1" scenarios="1" formatCells="0" formatColumns="0" formatRows="0" sort="0" autoFilter="0"/>
  <autoFilter ref="A1:N67" xr:uid="{570EE2DC-4EE0-4CF0-B381-0DF510B873A9}"/>
  <mergeCells count="1">
    <mergeCell ref="I25:K2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41240-2A0D-4766-9250-85744E11E255}">
  <sheetPr codeName="Sheet15">
    <tabColor theme="1"/>
  </sheetPr>
  <dimension ref="B3:E23"/>
  <sheetViews>
    <sheetView workbookViewId="0"/>
  </sheetViews>
  <sheetFormatPr defaultColWidth="9.1796875" defaultRowHeight="14.5" x14ac:dyDescent="0.35"/>
  <cols>
    <col min="1" max="1" width="4.7265625" style="44" customWidth="1"/>
    <col min="2" max="2" width="33" style="44" customWidth="1"/>
    <col min="3" max="3" width="10.453125" style="44" customWidth="1"/>
    <col min="4" max="4" width="12.453125" style="44" customWidth="1"/>
    <col min="5" max="5" width="16.54296875" style="44" bestFit="1" customWidth="1"/>
    <col min="6" max="16384" width="9.1796875" style="44"/>
  </cols>
  <sheetData>
    <row r="3" spans="2:5" s="44" customFormat="1" ht="18.5" x14ac:dyDescent="0.45">
      <c r="B3" s="269" t="s">
        <v>412</v>
      </c>
    </row>
    <row r="4" spans="2:5" s="44" customFormat="1" ht="15" thickBot="1" x14ac:dyDescent="0.4"/>
    <row r="5" spans="2:5" s="44" customFormat="1" ht="44" thickBot="1" x14ac:dyDescent="0.4">
      <c r="C5" s="478" t="s">
        <v>303</v>
      </c>
      <c r="D5" s="479" t="s">
        <v>413</v>
      </c>
      <c r="E5" s="479" t="s">
        <v>414</v>
      </c>
    </row>
    <row r="6" spans="2:5" s="44" customFormat="1" x14ac:dyDescent="0.35">
      <c r="B6" s="480" t="s">
        <v>415</v>
      </c>
      <c r="C6" s="481">
        <v>80</v>
      </c>
      <c r="D6" s="482">
        <f>AVERAGE(65.9,71.9,74.8,77.1)</f>
        <v>72.425000000000011</v>
      </c>
      <c r="E6" s="483"/>
    </row>
    <row r="7" spans="2:5" s="44" customFormat="1" ht="16.5" x14ac:dyDescent="0.35">
      <c r="B7" s="480" t="s">
        <v>416</v>
      </c>
      <c r="C7" s="484">
        <f>C8/2</f>
        <v>535</v>
      </c>
      <c r="D7" s="485">
        <f>D8/2</f>
        <v>445</v>
      </c>
      <c r="E7" s="486" t="s">
        <v>69</v>
      </c>
    </row>
    <row r="8" spans="2:5" s="44" customFormat="1" ht="15" customHeight="1" x14ac:dyDescent="0.35">
      <c r="B8" s="480" t="s">
        <v>417</v>
      </c>
      <c r="C8" s="487">
        <v>1070</v>
      </c>
      <c r="D8" s="488">
        <v>890</v>
      </c>
      <c r="E8" s="486" t="s">
        <v>71</v>
      </c>
    </row>
    <row r="9" spans="2:5" s="44" customFormat="1" ht="17.25" customHeight="1" x14ac:dyDescent="0.35">
      <c r="B9" s="480" t="s">
        <v>418</v>
      </c>
      <c r="C9" s="489">
        <v>40</v>
      </c>
      <c r="D9" s="485">
        <v>40</v>
      </c>
      <c r="E9" s="486" t="s">
        <v>69</v>
      </c>
    </row>
    <row r="10" spans="2:5" s="44" customFormat="1" x14ac:dyDescent="0.35">
      <c r="B10" s="480" t="s">
        <v>419</v>
      </c>
      <c r="C10" s="489">
        <v>31</v>
      </c>
      <c r="D10" s="485">
        <v>31</v>
      </c>
      <c r="E10" s="486" t="s">
        <v>71</v>
      </c>
    </row>
    <row r="11" spans="2:5" s="44" customFormat="1" ht="15" thickBot="1" x14ac:dyDescent="0.4">
      <c r="B11" s="490" t="s">
        <v>420</v>
      </c>
      <c r="C11" s="491">
        <v>78</v>
      </c>
      <c r="D11" s="492">
        <v>78</v>
      </c>
      <c r="E11" s="493"/>
    </row>
    <row r="12" spans="2:5" s="44" customFormat="1" x14ac:dyDescent="0.35">
      <c r="B12" s="494"/>
      <c r="C12" s="494"/>
      <c r="D12" s="495"/>
      <c r="E12" s="495"/>
    </row>
    <row r="13" spans="2:5" s="44" customFormat="1" x14ac:dyDescent="0.35">
      <c r="B13" s="496"/>
      <c r="C13" s="496"/>
      <c r="D13" s="496"/>
      <c r="E13" s="496"/>
    </row>
    <row r="14" spans="2:5" s="44" customFormat="1" x14ac:dyDescent="0.35">
      <c r="B14" s="497" t="s">
        <v>421</v>
      </c>
    </row>
    <row r="15" spans="2:5" s="44" customFormat="1" x14ac:dyDescent="0.35">
      <c r="B15" s="498" t="s">
        <v>422</v>
      </c>
    </row>
    <row r="16" spans="2:5" s="44" customFormat="1" x14ac:dyDescent="0.35">
      <c r="B16" s="44" t="s">
        <v>423</v>
      </c>
    </row>
    <row r="17" spans="2:5" s="44" customFormat="1" x14ac:dyDescent="0.35">
      <c r="B17" s="44" t="s">
        <v>424</v>
      </c>
    </row>
    <row r="18" spans="2:5" s="44" customFormat="1" x14ac:dyDescent="0.35">
      <c r="B18" s="44" t="s">
        <v>425</v>
      </c>
    </row>
    <row r="19" spans="2:5" s="44" customFormat="1" x14ac:dyDescent="0.35">
      <c r="B19" s="44" t="s">
        <v>426</v>
      </c>
    </row>
    <row r="20" spans="2:5" s="44" customFormat="1" x14ac:dyDescent="0.35">
      <c r="B20" s="44" t="s">
        <v>427</v>
      </c>
    </row>
    <row r="23" spans="2:5" s="44" customFormat="1" ht="78" customHeight="1" x14ac:dyDescent="0.35">
      <c r="B23" s="499" t="s">
        <v>428</v>
      </c>
      <c r="C23" s="499"/>
      <c r="D23" s="499"/>
      <c r="E23" s="499"/>
    </row>
  </sheetData>
  <sheetProtection sheet="1" objects="1" scenarios="1" formatCells="0" formatColumns="0" formatRows="0" sort="0" autoFilter="0"/>
  <autoFilter ref="B3:E23" xr:uid="{84F41240-2A0D-4766-9250-85744E11E255}"/>
  <mergeCells count="2">
    <mergeCell ref="B23:E23"/>
    <mergeCell ref="B12:E12"/>
  </mergeCells>
  <phoneticPr fontId="29"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5C5E6-FBC2-4B72-8208-0297D949E5B3}">
  <sheetPr codeName="Sheet4"/>
  <dimension ref="A1:B14"/>
  <sheetViews>
    <sheetView workbookViewId="0">
      <selection sqref="A1:B1"/>
    </sheetView>
  </sheetViews>
  <sheetFormatPr defaultRowHeight="14.5" x14ac:dyDescent="0.35"/>
  <cols>
    <col min="1" max="1" width="27.7265625" style="2" customWidth="1"/>
    <col min="2" max="2" width="110.26953125" style="2" customWidth="1"/>
    <col min="3" max="16384" width="8.7265625" style="2"/>
  </cols>
  <sheetData>
    <row r="1" spans="1:2" x14ac:dyDescent="0.35">
      <c r="A1" s="9" t="s">
        <v>1</v>
      </c>
      <c r="B1" s="9"/>
    </row>
    <row r="2" spans="1:2" s="11" customFormat="1" x14ac:dyDescent="0.35">
      <c r="A2" s="10" t="s">
        <v>3</v>
      </c>
      <c r="B2" s="10"/>
    </row>
    <row r="3" spans="1:2" s="11" customFormat="1" ht="15" thickBot="1" x14ac:dyDescent="0.4">
      <c r="A3" s="12" t="s">
        <v>4</v>
      </c>
      <c r="B3" s="13"/>
    </row>
    <row r="4" spans="1:2" s="16" customFormat="1" ht="77.25" customHeight="1" thickTop="1" x14ac:dyDescent="0.35">
      <c r="A4" s="14" t="s">
        <v>547</v>
      </c>
      <c r="B4" s="15"/>
    </row>
    <row r="5" spans="1:2" s="11" customFormat="1" x14ac:dyDescent="0.35">
      <c r="A5" s="17"/>
      <c r="B5" s="18"/>
    </row>
    <row r="6" spans="1:2" s="11" customFormat="1" x14ac:dyDescent="0.35">
      <c r="A6" s="19" t="s">
        <v>5</v>
      </c>
      <c r="B6" s="20" t="s">
        <v>2</v>
      </c>
    </row>
    <row r="7" spans="1:2" s="11" customFormat="1" x14ac:dyDescent="0.35">
      <c r="A7" s="21" t="s">
        <v>6</v>
      </c>
      <c r="B7" s="22" t="s">
        <v>7</v>
      </c>
    </row>
    <row r="8" spans="1:2" s="11" customFormat="1" ht="154.5" x14ac:dyDescent="0.35">
      <c r="A8" s="23" t="s">
        <v>8</v>
      </c>
      <c r="B8" s="24" t="s">
        <v>9</v>
      </c>
    </row>
    <row r="9" spans="1:2" s="11" customFormat="1" ht="42" x14ac:dyDescent="0.35">
      <c r="A9" s="25" t="s">
        <v>10</v>
      </c>
      <c r="B9" s="24" t="s">
        <v>11</v>
      </c>
    </row>
    <row r="10" spans="1:2" s="11" customFormat="1" ht="70" x14ac:dyDescent="0.35">
      <c r="A10" s="25" t="s">
        <v>12</v>
      </c>
      <c r="B10" s="24" t="s">
        <v>548</v>
      </c>
    </row>
    <row r="11" spans="1:2" s="11" customFormat="1" ht="98.5" thickBot="1" x14ac:dyDescent="0.4">
      <c r="A11" s="26" t="s">
        <v>546</v>
      </c>
      <c r="B11" s="27" t="s">
        <v>13</v>
      </c>
    </row>
    <row r="12" spans="1:2" ht="15" thickTop="1" x14ac:dyDescent="0.35">
      <c r="A12" s="28"/>
      <c r="B12" s="29"/>
    </row>
    <row r="14" spans="1:2" x14ac:dyDescent="0.35">
      <c r="B14" s="30"/>
    </row>
  </sheetData>
  <sheetProtection sheet="1" objects="1" scenarios="1" formatCells="0" formatColumns="0" formatRows="0" sort="0" autoFilter="0"/>
  <autoFilter ref="A1:B14" xr:uid="{C955C5E6-FBC2-4B72-8208-0297D949E5B3}">
    <filterColumn colId="0" showButton="0"/>
  </autoFilter>
  <mergeCells count="4">
    <mergeCell ref="A1:B1"/>
    <mergeCell ref="A2:B2"/>
    <mergeCell ref="A4:B4"/>
    <mergeCell ref="A5:B5"/>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9ED66-3813-40A4-86A2-7FA0757E6A9F}">
  <sheetPr codeName="Sheet5"/>
  <dimension ref="A1:C31"/>
  <sheetViews>
    <sheetView zoomScale="110" zoomScaleNormal="110" workbookViewId="0"/>
  </sheetViews>
  <sheetFormatPr defaultRowHeight="14.5" x14ac:dyDescent="0.35"/>
  <cols>
    <col min="1" max="1" width="54.1796875" style="32" bestFit="1" customWidth="1"/>
    <col min="2" max="2" width="49.7265625" style="32" bestFit="1" customWidth="1"/>
    <col min="3" max="3" width="94.81640625" style="32" customWidth="1"/>
    <col min="4" max="4" width="29.26953125" style="2" customWidth="1"/>
    <col min="5" max="16384" width="8.7265625" style="2"/>
  </cols>
  <sheetData>
    <row r="1" spans="1:3" x14ac:dyDescent="0.35">
      <c r="A1" s="31" t="s">
        <v>14</v>
      </c>
    </row>
    <row r="2" spans="1:3" x14ac:dyDescent="0.35">
      <c r="A2" s="33" t="s">
        <v>15</v>
      </c>
      <c r="B2" s="33" t="s">
        <v>16</v>
      </c>
      <c r="C2" s="33" t="s">
        <v>17</v>
      </c>
    </row>
    <row r="3" spans="1:3" ht="15" x14ac:dyDescent="0.35">
      <c r="A3" s="34" t="s">
        <v>18</v>
      </c>
      <c r="B3" s="34"/>
      <c r="C3" s="34"/>
    </row>
    <row r="4" spans="1:3" x14ac:dyDescent="0.35">
      <c r="A4" s="35" t="s">
        <v>19</v>
      </c>
      <c r="B4" s="36" t="s">
        <v>20</v>
      </c>
      <c r="C4" s="37"/>
    </row>
    <row r="5" spans="1:3" ht="91.5" x14ac:dyDescent="0.35">
      <c r="A5" s="35" t="s">
        <v>21</v>
      </c>
      <c r="B5" s="35" t="s">
        <v>22</v>
      </c>
      <c r="C5" s="37" t="s">
        <v>23</v>
      </c>
    </row>
    <row r="6" spans="1:3" ht="52.5" x14ac:dyDescent="0.35">
      <c r="A6" s="35" t="s">
        <v>24</v>
      </c>
      <c r="B6" s="35" t="s">
        <v>25</v>
      </c>
      <c r="C6" s="37" t="s">
        <v>26</v>
      </c>
    </row>
    <row r="7" spans="1:3" ht="52.5" x14ac:dyDescent="0.35">
      <c r="A7" s="35" t="s">
        <v>27</v>
      </c>
      <c r="B7" s="35" t="s">
        <v>28</v>
      </c>
      <c r="C7" s="37" t="s">
        <v>29</v>
      </c>
    </row>
    <row r="8" spans="1:3" x14ac:dyDescent="0.35">
      <c r="A8" s="38" t="s">
        <v>30</v>
      </c>
      <c r="B8" s="38"/>
      <c r="C8" s="38"/>
    </row>
    <row r="9" spans="1:3" x14ac:dyDescent="0.35">
      <c r="A9" s="34" t="s">
        <v>31</v>
      </c>
      <c r="B9" s="34"/>
      <c r="C9" s="34"/>
    </row>
    <row r="10" spans="1:3" x14ac:dyDescent="0.35">
      <c r="A10" s="39" t="s">
        <v>32</v>
      </c>
      <c r="B10" s="40" t="s">
        <v>33</v>
      </c>
      <c r="C10" s="41"/>
    </row>
    <row r="11" spans="1:3" x14ac:dyDescent="0.35">
      <c r="A11" s="39" t="s">
        <v>34</v>
      </c>
      <c r="B11" s="40" t="s">
        <v>33</v>
      </c>
      <c r="C11" s="41"/>
    </row>
    <row r="12" spans="1:3" ht="26.5" x14ac:dyDescent="0.35">
      <c r="A12" s="40" t="s">
        <v>35</v>
      </c>
      <c r="B12" s="40" t="s">
        <v>36</v>
      </c>
      <c r="C12" s="39" t="s">
        <v>37</v>
      </c>
    </row>
    <row r="13" spans="1:3" ht="26.5" x14ac:dyDescent="0.35">
      <c r="A13" s="40" t="s">
        <v>38</v>
      </c>
      <c r="B13" s="40" t="s">
        <v>39</v>
      </c>
      <c r="C13" s="39" t="s">
        <v>37</v>
      </c>
    </row>
    <row r="14" spans="1:3" x14ac:dyDescent="0.35">
      <c r="A14" s="34" t="s">
        <v>40</v>
      </c>
      <c r="B14" s="34"/>
      <c r="C14" s="34"/>
    </row>
    <row r="15" spans="1:3" ht="15" x14ac:dyDescent="0.35">
      <c r="A15" s="40" t="s">
        <v>41</v>
      </c>
      <c r="B15" s="40" t="s">
        <v>33</v>
      </c>
      <c r="C15" s="39"/>
    </row>
    <row r="16" spans="1:3" ht="26.5" x14ac:dyDescent="0.35">
      <c r="A16" s="40" t="s">
        <v>42</v>
      </c>
      <c r="B16" s="40" t="s">
        <v>43</v>
      </c>
      <c r="C16" s="39" t="s">
        <v>44</v>
      </c>
    </row>
    <row r="17" spans="1:3" x14ac:dyDescent="0.35">
      <c r="A17" s="35"/>
      <c r="B17" s="35"/>
      <c r="C17" s="37"/>
    </row>
    <row r="18" spans="1:3" x14ac:dyDescent="0.35">
      <c r="A18" s="34" t="s">
        <v>45</v>
      </c>
      <c r="B18" s="34"/>
      <c r="C18" s="34"/>
    </row>
    <row r="19" spans="1:3" ht="68.5" x14ac:dyDescent="0.35">
      <c r="A19" s="40" t="s">
        <v>438</v>
      </c>
      <c r="B19" s="40" t="s">
        <v>46</v>
      </c>
      <c r="C19" s="37" t="s">
        <v>443</v>
      </c>
    </row>
    <row r="20" spans="1:3" x14ac:dyDescent="0.35">
      <c r="A20" s="40" t="s">
        <v>439</v>
      </c>
      <c r="B20" s="40" t="s">
        <v>444</v>
      </c>
      <c r="C20" s="42" t="s">
        <v>47</v>
      </c>
    </row>
    <row r="21" spans="1:3" ht="78.5" x14ac:dyDescent="0.35">
      <c r="A21" s="40" t="s">
        <v>440</v>
      </c>
      <c r="B21" s="40" t="s">
        <v>445</v>
      </c>
      <c r="C21" s="37" t="s">
        <v>48</v>
      </c>
    </row>
    <row r="22" spans="1:3" ht="39.5" x14ac:dyDescent="0.35">
      <c r="A22" s="35" t="s">
        <v>441</v>
      </c>
      <c r="B22" s="35" t="s">
        <v>446</v>
      </c>
      <c r="C22" s="37" t="s">
        <v>49</v>
      </c>
    </row>
    <row r="23" spans="1:3" ht="39.5" x14ac:dyDescent="0.35">
      <c r="A23" s="35" t="s">
        <v>442</v>
      </c>
      <c r="B23" s="35" t="s">
        <v>446</v>
      </c>
      <c r="C23" s="37" t="s">
        <v>50</v>
      </c>
    </row>
    <row r="24" spans="1:3" x14ac:dyDescent="0.35">
      <c r="A24" s="34" t="s">
        <v>51</v>
      </c>
      <c r="B24" s="34"/>
      <c r="C24" s="34"/>
    </row>
    <row r="25" spans="1:3" x14ac:dyDescent="0.35">
      <c r="A25" s="39" t="s">
        <v>52</v>
      </c>
      <c r="B25" s="40" t="s">
        <v>33</v>
      </c>
      <c r="C25" s="41"/>
    </row>
    <row r="26" spans="1:3" x14ac:dyDescent="0.35">
      <c r="A26" s="39" t="s">
        <v>34</v>
      </c>
      <c r="B26" s="40" t="s">
        <v>33</v>
      </c>
      <c r="C26" s="41"/>
    </row>
    <row r="27" spans="1:3" ht="26.5" x14ac:dyDescent="0.35">
      <c r="A27" s="40" t="s">
        <v>35</v>
      </c>
      <c r="B27" s="40" t="s">
        <v>53</v>
      </c>
      <c r="C27" s="39" t="s">
        <v>37</v>
      </c>
    </row>
    <row r="28" spans="1:3" ht="26.5" x14ac:dyDescent="0.35">
      <c r="A28" s="40" t="s">
        <v>38</v>
      </c>
      <c r="B28" s="40" t="s">
        <v>54</v>
      </c>
      <c r="C28" s="39" t="s">
        <v>37</v>
      </c>
    </row>
    <row r="29" spans="1:3" x14ac:dyDescent="0.35">
      <c r="A29" s="34" t="s">
        <v>40</v>
      </c>
      <c r="B29" s="34"/>
      <c r="C29" s="34"/>
    </row>
    <row r="30" spans="1:3" ht="15" x14ac:dyDescent="0.35">
      <c r="A30" s="40" t="s">
        <v>55</v>
      </c>
      <c r="B30" s="40" t="s">
        <v>33</v>
      </c>
      <c r="C30" s="39"/>
    </row>
    <row r="31" spans="1:3" ht="26.5" x14ac:dyDescent="0.35">
      <c r="A31" s="40" t="s">
        <v>42</v>
      </c>
      <c r="B31" s="40" t="s">
        <v>56</v>
      </c>
      <c r="C31" s="39" t="s">
        <v>44</v>
      </c>
    </row>
  </sheetData>
  <sheetProtection sheet="1" objects="1" scenarios="1" formatCells="0" formatColumns="0" formatRows="0" sort="0" autoFilter="0"/>
  <autoFilter ref="A1:C31" xr:uid="{76D9ED66-3813-40A4-86A2-7FA0757E6A9F}"/>
  <mergeCells count="7">
    <mergeCell ref="A29:C29"/>
    <mergeCell ref="A3:C3"/>
    <mergeCell ref="A18:C18"/>
    <mergeCell ref="A8:C8"/>
    <mergeCell ref="A9:C9"/>
    <mergeCell ref="A24:C24"/>
    <mergeCell ref="A14:C1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4E7FE-9D99-4B66-A2F9-D57F9F4A70CF}">
  <sheetPr codeName="Sheet6">
    <tabColor rgb="FF92D050"/>
  </sheetPr>
  <dimension ref="A1:AC324"/>
  <sheetViews>
    <sheetView zoomScale="70" zoomScaleNormal="70" workbookViewId="0">
      <pane ySplit="8" topLeftCell="A9" activePane="bottomLeft" state="frozen"/>
      <selection pane="bottomLeft" sqref="A1:R1"/>
    </sheetView>
  </sheetViews>
  <sheetFormatPr defaultColWidth="9.26953125" defaultRowHeight="14.5" x14ac:dyDescent="0.35"/>
  <cols>
    <col min="1" max="1" width="2.7265625" style="44" customWidth="1"/>
    <col min="2" max="2" width="7.453125" style="47" customWidth="1"/>
    <col min="3" max="3" width="11.26953125" style="46" customWidth="1"/>
    <col min="4" max="4" width="10" style="46" customWidth="1"/>
    <col min="5" max="5" width="15.26953125" style="44" customWidth="1"/>
    <col min="6" max="6" width="22.26953125" style="44" customWidth="1"/>
    <col min="7" max="7" width="28" style="44" customWidth="1"/>
    <col min="8" max="8" width="10.7265625" style="44" customWidth="1"/>
    <col min="9" max="9" width="17.54296875" style="44" customWidth="1"/>
    <col min="10" max="10" width="11.26953125" style="44" customWidth="1"/>
    <col min="11" max="11" width="16.453125" style="44" customWidth="1"/>
    <col min="12" max="12" width="18.26953125" style="44" customWidth="1"/>
    <col min="13" max="13" width="16.7265625" style="44" customWidth="1"/>
    <col min="14" max="14" width="18.453125" style="44" customWidth="1"/>
    <col min="15" max="16" width="12.54296875" style="44" customWidth="1"/>
    <col min="17" max="17" width="14.1796875" style="44" customWidth="1"/>
    <col min="18" max="18" width="19.7265625" style="44" customWidth="1"/>
    <col min="19" max="19" width="2.453125" style="44" customWidth="1"/>
    <col min="20" max="23" width="16.26953125" style="44" customWidth="1"/>
    <col min="24" max="24" width="2.26953125" style="44" customWidth="1"/>
    <col min="25" max="25" width="9.54296875" style="44" customWidth="1"/>
    <col min="26" max="28" width="14.26953125" style="44" customWidth="1"/>
    <col min="29" max="29" width="12.7265625" style="44" customWidth="1"/>
    <col min="30" max="16384" width="9.26953125" style="44"/>
  </cols>
  <sheetData>
    <row r="1" spans="1:28" x14ac:dyDescent="0.35">
      <c r="A1" s="43"/>
      <c r="B1" s="43"/>
      <c r="C1" s="43"/>
      <c r="D1" s="43"/>
      <c r="E1" s="43"/>
      <c r="F1" s="43"/>
      <c r="G1" s="43"/>
      <c r="H1" s="43"/>
      <c r="I1" s="43"/>
      <c r="J1" s="43"/>
      <c r="K1" s="43"/>
      <c r="L1" s="43"/>
      <c r="M1" s="43"/>
      <c r="N1" s="43"/>
      <c r="O1" s="43"/>
      <c r="P1" s="43"/>
      <c r="Q1" s="43"/>
      <c r="R1" s="43"/>
    </row>
    <row r="2" spans="1:28" ht="15" thickBot="1" x14ac:dyDescent="0.4">
      <c r="B2" s="45" t="s">
        <v>83</v>
      </c>
    </row>
    <row r="3" spans="1:28" ht="15" thickBot="1" x14ac:dyDescent="0.4">
      <c r="K3" s="48" t="s">
        <v>84</v>
      </c>
      <c r="L3" s="49"/>
      <c r="M3" s="49"/>
      <c r="N3" s="49"/>
      <c r="O3" s="49"/>
      <c r="P3" s="49"/>
      <c r="Q3" s="49"/>
      <c r="R3" s="50"/>
    </row>
    <row r="4" spans="1:28" ht="29.5" thickBot="1" x14ac:dyDescent="0.4">
      <c r="J4" s="51" t="s">
        <v>85</v>
      </c>
      <c r="K4" s="52">
        <v>30</v>
      </c>
      <c r="L4" s="52">
        <f>'Health Data'!H7</f>
        <v>30</v>
      </c>
      <c r="M4" s="53">
        <f>'Health Data'!H8</f>
        <v>30</v>
      </c>
      <c r="N4" s="53">
        <f>'Health Data'!H9</f>
        <v>100</v>
      </c>
      <c r="O4" s="52">
        <v>30</v>
      </c>
      <c r="P4" s="52">
        <v>30</v>
      </c>
      <c r="Q4" s="53">
        <v>30</v>
      </c>
      <c r="R4" s="53">
        <v>100</v>
      </c>
    </row>
    <row r="5" spans="1:28" ht="15" thickBot="1" x14ac:dyDescent="0.4">
      <c r="J5" s="51" t="s">
        <v>58</v>
      </c>
      <c r="K5" s="54" t="s">
        <v>86</v>
      </c>
      <c r="L5" s="54" t="str">
        <f>'Health Data'!H14</f>
        <v>n/a</v>
      </c>
      <c r="M5" s="55">
        <f>'Health Data'!H15</f>
        <v>30</v>
      </c>
      <c r="N5" s="54">
        <f>'Health Data'!H16</f>
        <v>100</v>
      </c>
      <c r="O5" s="55" t="s">
        <v>86</v>
      </c>
      <c r="P5" s="55" t="s">
        <v>86</v>
      </c>
      <c r="Q5" s="55">
        <v>30</v>
      </c>
      <c r="R5" s="56">
        <v>100</v>
      </c>
      <c r="V5" s="57" t="s">
        <v>87</v>
      </c>
      <c r="W5" s="58">
        <v>10</v>
      </c>
    </row>
    <row r="6" spans="1:28" ht="15.5" thickBot="1" x14ac:dyDescent="0.4">
      <c r="E6" s="59"/>
      <c r="V6" s="57" t="s">
        <v>88</v>
      </c>
      <c r="W6" s="58">
        <v>5</v>
      </c>
    </row>
    <row r="7" spans="1:28" ht="38.15" customHeight="1" thickBot="1" x14ac:dyDescent="0.4">
      <c r="B7" s="60" t="s">
        <v>89</v>
      </c>
      <c r="C7" s="61" t="s">
        <v>90</v>
      </c>
      <c r="D7" s="61" t="s">
        <v>91</v>
      </c>
      <c r="E7" s="62" t="s">
        <v>92</v>
      </c>
      <c r="F7" s="63" t="s">
        <v>93</v>
      </c>
      <c r="G7" s="63" t="s">
        <v>94</v>
      </c>
      <c r="H7" s="63" t="s">
        <v>90</v>
      </c>
      <c r="I7" s="63" t="s">
        <v>95</v>
      </c>
      <c r="J7" s="63" t="s">
        <v>64</v>
      </c>
      <c r="K7" s="64" t="s">
        <v>96</v>
      </c>
      <c r="L7" s="65"/>
      <c r="M7" s="65"/>
      <c r="N7" s="66"/>
      <c r="O7" s="65" t="s">
        <v>97</v>
      </c>
      <c r="P7" s="65"/>
      <c r="Q7" s="65"/>
      <c r="R7" s="67"/>
      <c r="T7" s="68" t="s">
        <v>98</v>
      </c>
      <c r="U7" s="69"/>
      <c r="V7" s="69"/>
      <c r="W7" s="70"/>
    </row>
    <row r="8" spans="1:28" ht="100.5" customHeight="1" thickBot="1" x14ac:dyDescent="0.4">
      <c r="A8" s="71"/>
      <c r="B8" s="72"/>
      <c r="C8" s="73"/>
      <c r="D8" s="73"/>
      <c r="E8" s="74"/>
      <c r="F8" s="75"/>
      <c r="G8" s="75"/>
      <c r="H8" s="76"/>
      <c r="I8" s="75"/>
      <c r="J8" s="75"/>
      <c r="K8" s="77" t="str">
        <f>"Acute Short-Term Non-cancer (bench­mark MOE = " &amp; K4 &amp; " (inhalation); " &amp; K5 &amp; " (dermal))"</f>
        <v>Acute Short-Term Non-cancer (bench­mark MOE = 30 (inhalation); n/a (dermal))</v>
      </c>
      <c r="L8" s="78" t="str">
        <f>"Acute 8-hr Non-cancer (bench­mark MOE = " &amp; L4 &amp; " (inhalation); " &amp; L5 &amp; " (dermal))"</f>
        <v>Acute 8-hr Non-cancer (bench­mark MOE = 30 (inhalation); n/a (dermal))</v>
      </c>
      <c r="M8" s="78" t="str">
        <f xml:space="preserve"> "Intermediate Non-cancer (bench­mark MOE = " &amp; M4 &amp; " (inhalation); " &amp; M5 &amp; " (dermal))"</f>
        <v>Intermediate Non-cancer (bench­mark MOE = 30 (inhalation); 30 (dermal))</v>
      </c>
      <c r="N8" s="79" t="str">
        <f xml:space="preserve"> "Chronic Non-cancer (bench­mark MOE = " &amp; N4 &amp; " (inhalation); " &amp; N5 &amp; " (dermal))"</f>
        <v>Chronic Non-cancer (bench­mark MOE = 100 (inhalation); 100 (dermal))</v>
      </c>
      <c r="O8" s="78" t="str">
        <f>"Acute Short-Term Non-cancer (bench­mark MOE = " &amp; O4 &amp; " (inhalation); " &amp; O5 &amp; " (dermal))"</f>
        <v>Acute Short-Term Non-cancer (bench­mark MOE = 30 (inhalation); n/a (dermal))</v>
      </c>
      <c r="P8" s="78" t="str">
        <f>"Acute 8-hr Non-cancer (bench­mark MOE = " &amp; P4 &amp; " (inhalation); " &amp; P5 &amp; " (dermal))"</f>
        <v>Acute 8-hr Non-cancer (bench­mark MOE = 30 (inhalation); n/a (dermal))</v>
      </c>
      <c r="Q8" s="78" t="str">
        <f xml:space="preserve"> "Intermediate Non-cancer (bench­mark MOE = " &amp; Q4 &amp; " (inhalation); " &amp; Q5 &amp; " (dermal))"</f>
        <v>Intermediate Non-cancer (bench­mark MOE = 30 (inhalation); 30 (dermal))</v>
      </c>
      <c r="R8" s="78" t="str">
        <f xml:space="preserve"> "Chronic Non-cancer (bench­mark MOE = " &amp; R4 &amp; " (inhalation); " &amp; R5 &amp; " (dermal))"</f>
        <v>Chronic Non-cancer (bench­mark MOE = 100 (inhalation); 100 (dermal))</v>
      </c>
      <c r="T8" s="77" t="s">
        <v>99</v>
      </c>
      <c r="U8" s="78" t="s">
        <v>100</v>
      </c>
      <c r="V8" s="78" t="s">
        <v>101</v>
      </c>
      <c r="W8" s="78" t="s">
        <v>102</v>
      </c>
      <c r="Z8" s="80" t="s">
        <v>103</v>
      </c>
      <c r="AA8" s="81" t="s">
        <v>104</v>
      </c>
      <c r="AB8" s="81" t="s">
        <v>105</v>
      </c>
    </row>
    <row r="9" spans="1:28" ht="15.65" customHeight="1" thickBot="1" x14ac:dyDescent="0.4">
      <c r="B9" s="82" t="s">
        <v>106</v>
      </c>
      <c r="C9" s="83" t="s">
        <v>68</v>
      </c>
      <c r="D9" s="83" t="s">
        <v>107</v>
      </c>
      <c r="E9" s="84" t="s">
        <v>108</v>
      </c>
      <c r="F9" s="84" t="s">
        <v>109</v>
      </c>
      <c r="G9" s="85" t="s">
        <v>319</v>
      </c>
      <c r="H9" s="86" t="s">
        <v>68</v>
      </c>
      <c r="I9" s="86" t="s">
        <v>110</v>
      </c>
      <c r="J9" s="87" t="s">
        <v>71</v>
      </c>
      <c r="K9" s="88" t="str">
        <f>IFERROR(VLOOKUP($D9,$Y$9:$AB$10,2,FALSE)/IF($D9="Inhalation",IF($J9="Central Tendency",SUMIFS('Inhalation Exposure_Short-Term'!$F$7:$F$397,'Inhalation Exposure_Short-Term'!$B$7:$B$397,$B9,'Inhalation Exposure_Short-Term'!$D$7:$D$397,$C9),SUMIFS('Inhalation Exposure_Short-Term'!$G$7:$G$397,'Inhalation Exposure_Short-Term'!$B$7:$B$397,$B9,'Inhalation Exposure_Short-Term'!$D$7:$D$397,$C9)),IF($J9="Central Tendency",VLOOKUP($B9,'Dermal Exposure'!$A$6:$L$19,9,FALSE),VLOOKUP($B9,'Dermal Exposure'!$A$6:$L$19,4,FALSE))),"--")</f>
        <v>--</v>
      </c>
      <c r="L9" s="88">
        <f>IFERROR(VLOOKUP($D9,$Y$9:$AB$10,2,FALSE)/IF($D9="Inhalation",IF($J9="Central Tendency",SUMIFS('Inhalation Exposure_8-hr'!$H$6:$H$411,'Inhalation Exposure_8-hr'!$B$6:$B$411,$B9,'Inhalation Exposure_8-hr'!$D$6:$D$411,$C9),SUMIFS('Inhalation Exposure_8-hr'!$I$6:$I$411,'Inhalation Exposure_8-hr'!$B$6:$B$411,$B9,'Inhalation Exposure_8-hr'!$D$6:$D$411,$C9)),IF($J9="Central Tendency",VLOOKUP($B9,'Dermal Exposure'!$A$6:$L$19,9,FALSE),VLOOKUP($B9,'Dermal Exposure'!$A$6:$L$19,4,FALSE))),"--")</f>
        <v>18441.051980786608</v>
      </c>
      <c r="M9" s="88">
        <f>IFERROR(VLOOKUP($D9,$Y$9:$AB$10,3,FALSE)/IF($D9="Inhalation",IF($J9="Central Tendency",SUMIFS('Inhalation Exposure_8-hr'!$L$6:$L$411,'Inhalation Exposure_8-hr'!$B$6:$B$411,$B9,'Inhalation Exposure_8-hr'!$D$6:$D$411,$C9),SUMIFS('Inhalation Exposure_8-hr'!$M$6:$M$411,'Inhalation Exposure_8-hr'!$B$6:$B$411,$B9,'Inhalation Exposure_8-hr'!$D$6:$D$411,$C9)),IF($J9="Central Tendency",VLOOKUP($B9,'Dermal Exposure'!$A$6:$L$19,10,FALSE),VLOOKUP($B9,'Dermal Exposure'!$A$6:$L$19,5,FALSE))),"--")</f>
        <v>545.24742214555317</v>
      </c>
      <c r="N9" s="89">
        <f>IFERROR(VLOOKUP($D9,$Y$9:$AB$10,4,FALSE)/IF($D9="Inhalation",IF($J9="Central Tendency",SUMIFS('Inhalation Exposure_8-hr'!$N$6:$N$411,'Inhalation Exposure_8-hr'!$B$6:$B$411,$B9,'Inhalation Exposure_8-hr'!$D$6:$D$411,$C9),SUMIFS('Inhalation Exposure_8-hr'!$O$6:$O$411,'Inhalation Exposure_8-hr'!$B$6:$B$411,$B9,'Inhalation Exposure_8-hr'!$D$6:$D$411,$C9)),IF($J9="Central Tendency",VLOOKUP($B9,'Dermal Exposure'!$A$6:$L$19,11,FALSE),VLOOKUP($B9,'Dermal Exposure'!$A$6:$L$19,6,FALSE))),"--")</f>
        <v>583.77823997717235</v>
      </c>
      <c r="O9" s="90" t="str">
        <f>IFERROR(K9*T9, "--")</f>
        <v>--</v>
      </c>
      <c r="P9" s="91">
        <f>IFERROR(L9*U9, "--")</f>
        <v>184410.51980786608</v>
      </c>
      <c r="Q9" s="91">
        <f>IFERROR(M9*V9, "--")</f>
        <v>5452.4742214555317</v>
      </c>
      <c r="R9" s="91">
        <f>IFERROR(N9*W9, "--")</f>
        <v>5837.7823997717232</v>
      </c>
      <c r="T9" s="92">
        <v>10</v>
      </c>
      <c r="U9" s="93">
        <v>10</v>
      </c>
      <c r="V9" s="93">
        <v>10</v>
      </c>
      <c r="W9" s="94">
        <v>10</v>
      </c>
      <c r="Y9" s="95" t="s">
        <v>107</v>
      </c>
      <c r="Z9" s="96">
        <f>'Health Data'!G7</f>
        <v>2000</v>
      </c>
      <c r="AA9" s="97">
        <f>'Health Data'!G8</f>
        <v>29.5</v>
      </c>
      <c r="AB9" s="97">
        <f>'Health Data'!G9</f>
        <v>29.5</v>
      </c>
    </row>
    <row r="10" spans="1:28" ht="15" thickBot="1" x14ac:dyDescent="0.4">
      <c r="B10" s="82" t="s">
        <v>106</v>
      </c>
      <c r="C10" s="83" t="s">
        <v>68</v>
      </c>
      <c r="D10" s="83" t="s">
        <v>107</v>
      </c>
      <c r="E10" s="98"/>
      <c r="F10" s="98"/>
      <c r="G10" s="99"/>
      <c r="H10" s="100"/>
      <c r="I10" s="101"/>
      <c r="J10" s="102"/>
      <c r="K10" s="103"/>
      <c r="L10" s="103"/>
      <c r="M10" s="103"/>
      <c r="N10" s="104"/>
      <c r="O10" s="105" t="str">
        <f>CONCATENATE("(APF ",T9,")")</f>
        <v>(APF 10)</v>
      </c>
      <c r="P10" s="105" t="str">
        <f>CONCATENATE("(APF ",U9,")")</f>
        <v>(APF 10)</v>
      </c>
      <c r="Q10" s="105" t="str">
        <f>CONCATENATE("(APF ",V9,")")</f>
        <v>(APF 10)</v>
      </c>
      <c r="R10" s="105" t="str">
        <f>CONCATENATE("(APF ",W9,")")</f>
        <v>(APF 10)</v>
      </c>
      <c r="T10" s="106" t="s">
        <v>111</v>
      </c>
      <c r="U10" s="107" t="s">
        <v>111</v>
      </c>
      <c r="V10" s="107" t="s">
        <v>111</v>
      </c>
      <c r="W10" s="108" t="s">
        <v>111</v>
      </c>
      <c r="Y10" s="95" t="s">
        <v>58</v>
      </c>
      <c r="Z10" s="96" t="str">
        <f>'Health Data'!G14</f>
        <v>n/a</v>
      </c>
      <c r="AA10" s="96">
        <f>'Health Data'!G15</f>
        <v>21.5</v>
      </c>
      <c r="AB10" s="96">
        <f>'Health Data'!G16</f>
        <v>21.5</v>
      </c>
    </row>
    <row r="11" spans="1:28" ht="15" thickBot="1" x14ac:dyDescent="0.4">
      <c r="B11" s="82" t="s">
        <v>106</v>
      </c>
      <c r="C11" s="83" t="s">
        <v>68</v>
      </c>
      <c r="D11" s="83" t="s">
        <v>107</v>
      </c>
      <c r="E11" s="98"/>
      <c r="F11" s="98"/>
      <c r="G11" s="99"/>
      <c r="H11" s="100"/>
      <c r="I11" s="101"/>
      <c r="J11" s="87" t="s">
        <v>112</v>
      </c>
      <c r="K11" s="88" t="str">
        <f>IFERROR(VLOOKUP($D11,$Y$9:$AB$10,2,FALSE)/IF($D11="Inhalation",IF($J11="Central Tendency",SUMIFS('Inhalation Exposure_Short-Term'!$F$7:$F$397,'Inhalation Exposure_Short-Term'!$B$7:$B$397,$B11,'Inhalation Exposure_Short-Term'!$D$7:$D$397,$C11),SUMIFS('Inhalation Exposure_Short-Term'!$G$7:$G$397,'Inhalation Exposure_Short-Term'!$B$7:$B$397,$B11,'Inhalation Exposure_Short-Term'!$D$7:$D$397,$C11)),IF($J11="Central Tendency",VLOOKUP($B11,'Dermal Exposure'!$A$6:$L$19,9,FALSE),VLOOKUP($B11,'Dermal Exposure'!$A$6:$L$19,4,FALSE))),"--")</f>
        <v>--</v>
      </c>
      <c r="L11" s="88">
        <f>IFERROR(VLOOKUP($D11,$Y$9:$AB$10,2,FALSE)/IF($D11="Inhalation",IF($J11="Central Tendency",SUMIFS('Inhalation Exposure_8-hr'!$H$6:$H$411,'Inhalation Exposure_8-hr'!$B$6:$B$411,$B11,'Inhalation Exposure_8-hr'!$D$6:$D$411,$C11),SUMIFS('Inhalation Exposure_8-hr'!$I$6:$I$411,'Inhalation Exposure_8-hr'!$B$6:$B$411,$B11,'Inhalation Exposure_8-hr'!$D$6:$D$411,$C11)),IF($J11="Central Tendency",VLOOKUP($B11,'Dermal Exposure'!$A$6:$L$19,9,FALSE),VLOOKUP($B11,'Dermal Exposure'!$A$6:$L$19,4,FALSE))),"--")</f>
        <v>3480.9711816234599</v>
      </c>
      <c r="M11" s="88">
        <f>IFERROR(VLOOKUP($D11,$Y$9:$AB$10,3,FALSE)/IF($D11="Inhalation",IF($J11="Central Tendency",SUMIFS('Inhalation Exposure_8-hr'!$L$6:$L$411,'Inhalation Exposure_8-hr'!$B$6:$B$411,$B11,'Inhalation Exposure_8-hr'!$D$6:$D$411,$C11),SUMIFS('Inhalation Exposure_8-hr'!$M$6:$M$411,'Inhalation Exposure_8-hr'!$B$6:$B$411,$B11,'Inhalation Exposure_8-hr'!$D$6:$D$411,$C11)),IF($J11="Central Tendency",VLOOKUP($B11,'Dermal Exposure'!$A$6:$L$19,10,FALSE),VLOOKUP($B11,'Dermal Exposure'!$A$6:$L$19,5,FALSE))),"--")</f>
        <v>102.92203315302363</v>
      </c>
      <c r="N11" s="89">
        <f>IFERROR(VLOOKUP($D11,$Y$9:$AB$10,4,FALSE)/IF($D11="Inhalation",IF($J11="Central Tendency",SUMIFS('Inhalation Exposure_8-hr'!$N$6:$N$411,'Inhalation Exposure_8-hr'!$B$6:$B$411,$B11,'Inhalation Exposure_8-hr'!$D$6:$D$411,$C11),SUMIFS('Inhalation Exposure_8-hr'!$O$6:$O$411,'Inhalation Exposure_8-hr'!$B$6:$B$411,$B11,'Inhalation Exposure_8-hr'!$D$6:$D$411,$C11)),IF($J11="Central Tendency",VLOOKUP($B11,'Dermal Exposure'!$A$6:$L$19,11,FALSE),VLOOKUP($B11,'Dermal Exposure'!$A$6:$L$19,6,FALSE))),"--")</f>
        <v>110.19519016250399</v>
      </c>
      <c r="O11" s="90" t="str">
        <f>IFERROR(K11*T11, "--")</f>
        <v>--</v>
      </c>
      <c r="P11" s="91">
        <f>IFERROR(L11*U11, "--")</f>
        <v>34809.711816234601</v>
      </c>
      <c r="Q11" s="91">
        <f>IFERROR(M11*V11, "--")</f>
        <v>1029.2203315302363</v>
      </c>
      <c r="R11" s="91">
        <f>IFERROR(N11*W11, "--")</f>
        <v>1101.9519016250399</v>
      </c>
      <c r="T11" s="109">
        <v>10</v>
      </c>
      <c r="U11" s="110">
        <v>10</v>
      </c>
      <c r="V11" s="110">
        <v>10</v>
      </c>
      <c r="W11" s="111">
        <v>10</v>
      </c>
    </row>
    <row r="12" spans="1:28" ht="15" thickBot="1" x14ac:dyDescent="0.4">
      <c r="B12" s="82" t="s">
        <v>106</v>
      </c>
      <c r="C12" s="83" t="s">
        <v>68</v>
      </c>
      <c r="D12" s="83" t="s">
        <v>107</v>
      </c>
      <c r="E12" s="98"/>
      <c r="F12" s="98"/>
      <c r="G12" s="112"/>
      <c r="H12" s="100"/>
      <c r="I12" s="113"/>
      <c r="J12" s="102"/>
      <c r="K12" s="103"/>
      <c r="L12" s="103"/>
      <c r="M12" s="103"/>
      <c r="N12" s="104"/>
      <c r="O12" s="105" t="str">
        <f>CONCATENATE("(APF ",T11,")")</f>
        <v>(APF 10)</v>
      </c>
      <c r="P12" s="105" t="str">
        <f>CONCATENATE("(APF ",U11,")")</f>
        <v>(APF 10)</v>
      </c>
      <c r="Q12" s="105" t="str">
        <f>CONCATENATE("(APF ",V11,")")</f>
        <v>(APF 10)</v>
      </c>
      <c r="R12" s="105" t="str">
        <f>CONCATENATE("(APF ",W11,")")</f>
        <v>(APF 10)</v>
      </c>
      <c r="T12" s="114" t="s">
        <v>111</v>
      </c>
      <c r="U12" s="115" t="s">
        <v>111</v>
      </c>
      <c r="V12" s="115" t="s">
        <v>111</v>
      </c>
      <c r="W12" s="116" t="s">
        <v>111</v>
      </c>
    </row>
    <row r="13" spans="1:28" ht="15.75" customHeight="1" thickBot="1" x14ac:dyDescent="0.4">
      <c r="B13" s="82" t="s">
        <v>113</v>
      </c>
      <c r="C13" s="83" t="s">
        <v>68</v>
      </c>
      <c r="D13" s="83" t="s">
        <v>107</v>
      </c>
      <c r="E13" s="98"/>
      <c r="F13" s="98"/>
      <c r="G13" s="85" t="s">
        <v>322</v>
      </c>
      <c r="H13" s="100"/>
      <c r="I13" s="86" t="s">
        <v>110</v>
      </c>
      <c r="J13" s="87" t="s">
        <v>71</v>
      </c>
      <c r="K13" s="88" t="str">
        <f>IFERROR(VLOOKUP($D13,$Y$9:$AB$10,2,FALSE)/IF($D13="Inhalation",IF($J13="Central Tendency",SUMIFS('Inhalation Exposure_Short-Term'!$F$7:$F$397,'Inhalation Exposure_Short-Term'!$B$7:$B$397,$B13,'Inhalation Exposure_Short-Term'!$D$7:$D$397,$C13),SUMIFS('Inhalation Exposure_Short-Term'!$G$7:$G$397,'Inhalation Exposure_Short-Term'!$B$7:$B$397,$B13,'Inhalation Exposure_Short-Term'!$D$7:$D$397,$C13)),IF($J13="Central Tendency",VLOOKUP($B13,'Dermal Exposure'!$A$6:$L$19,9,FALSE),VLOOKUP($B13,'Dermal Exposure'!$A$6:$L$19,4,FALSE))),"--")</f>
        <v>--</v>
      </c>
      <c r="L13" s="88">
        <f>IFERROR(VLOOKUP($D13,$Y$9:$AB$10,2,FALSE)/IF($D13="Inhalation",IF($J13="Central Tendency",SUMIFS('Inhalation Exposure_8-hr'!$H$6:$H$411,'Inhalation Exposure_8-hr'!$B$6:$B$411,$B13,'Inhalation Exposure_8-hr'!$D$6:$D$411,$C13),SUMIFS('Inhalation Exposure_8-hr'!$I$6:$I$411,'Inhalation Exposure_8-hr'!$B$6:$B$411,$B13,'Inhalation Exposure_8-hr'!$D$6:$D$411,$C13)),IF($J13="Central Tendency",VLOOKUP($B13,'Dermal Exposure'!$A$6:$L$19,9,FALSE),VLOOKUP($B13,'Dermal Exposure'!$A$6:$L$19,4,FALSE))),"--")</f>
        <v>159643.56737832309</v>
      </c>
      <c r="M13" s="88">
        <f>IFERROR(VLOOKUP($D13,$Y$9:$AB$10,3,FALSE)/IF($D13="Inhalation",IF($J13="Central Tendency",SUMIFS('Inhalation Exposure_8-hr'!$L$6:$L$411,'Inhalation Exposure_8-hr'!$B$6:$B$411,$B13,'Inhalation Exposure_8-hr'!$D$6:$D$411,$C13),SUMIFS('Inhalation Exposure_8-hr'!$M$6:$M$411,'Inhalation Exposure_8-hr'!$B$6:$B$411,$B13,'Inhalation Exposure_8-hr'!$D$6:$D$411,$C13)),IF($J13="Central Tendency",VLOOKUP($B13,'Dermal Exposure'!$A$6:$L$19,10,FALSE),VLOOKUP($B13,'Dermal Exposure'!$A$6:$L$19,5,FALSE))),"--")</f>
        <v>4720.1886132006694</v>
      </c>
      <c r="N13" s="89">
        <f>IFERROR(VLOOKUP($D13,$Y$9:$AB$10,4,FALSE)/IF($D13="Inhalation",IF($J13="Central Tendency",SUMIFS('Inhalation Exposure_8-hr'!$N$6:$N$411,'Inhalation Exposure_8-hr'!$B$6:$B$411,$B13,'Inhalation Exposure_8-hr'!$D$6:$D$411,$C13),SUMIFS('Inhalation Exposure_8-hr'!$O$6:$O$411,'Inhalation Exposure_8-hr'!$B$6:$B$411,$B13,'Inhalation Exposure_8-hr'!$D$6:$D$411,$C13)),IF($J13="Central Tendency",VLOOKUP($B13,'Dermal Exposure'!$A$6:$L$19,11,FALSE),VLOOKUP($B13,'Dermal Exposure'!$A$6:$L$19,6,FALSE))),"--")</f>
        <v>5053.7486085335167</v>
      </c>
      <c r="O13" s="90" t="str">
        <f>IFERROR(K13*T13, "--")</f>
        <v>--</v>
      </c>
      <c r="P13" s="91">
        <f>IFERROR(L13*U13, "--")</f>
        <v>1596435.6737832308</v>
      </c>
      <c r="Q13" s="91">
        <f>IFERROR(M13*V13, "--")</f>
        <v>47201.886132006694</v>
      </c>
      <c r="R13" s="91">
        <f>IFERROR(N13*W13, "--")</f>
        <v>50537.486085335171</v>
      </c>
      <c r="T13" s="92">
        <v>10</v>
      </c>
      <c r="U13" s="93">
        <v>10</v>
      </c>
      <c r="V13" s="93">
        <v>10</v>
      </c>
      <c r="W13" s="94">
        <v>10</v>
      </c>
    </row>
    <row r="14" spans="1:28" ht="15" thickBot="1" x14ac:dyDescent="0.4">
      <c r="B14" s="82" t="s">
        <v>113</v>
      </c>
      <c r="C14" s="83" t="s">
        <v>68</v>
      </c>
      <c r="D14" s="83" t="s">
        <v>107</v>
      </c>
      <c r="E14" s="98"/>
      <c r="F14" s="98"/>
      <c r="G14" s="99"/>
      <c r="H14" s="100"/>
      <c r="I14" s="101"/>
      <c r="J14" s="102"/>
      <c r="K14" s="103"/>
      <c r="L14" s="103"/>
      <c r="M14" s="103"/>
      <c r="N14" s="104"/>
      <c r="O14" s="105" t="str">
        <f>CONCATENATE("(APF ",T13,")")</f>
        <v>(APF 10)</v>
      </c>
      <c r="P14" s="105" t="str">
        <f>CONCATENATE("(APF ",U13,")")</f>
        <v>(APF 10)</v>
      </c>
      <c r="Q14" s="105" t="str">
        <f>CONCATENATE("(APF ",V13,")")</f>
        <v>(APF 10)</v>
      </c>
      <c r="R14" s="105" t="str">
        <f>CONCATENATE("(APF ",W13,")")</f>
        <v>(APF 10)</v>
      </c>
      <c r="T14" s="106" t="s">
        <v>111</v>
      </c>
      <c r="U14" s="107" t="s">
        <v>111</v>
      </c>
      <c r="V14" s="107" t="s">
        <v>111</v>
      </c>
      <c r="W14" s="108" t="s">
        <v>111</v>
      </c>
    </row>
    <row r="15" spans="1:28" ht="15" thickBot="1" x14ac:dyDescent="0.4">
      <c r="B15" s="82" t="s">
        <v>113</v>
      </c>
      <c r="C15" s="83" t="s">
        <v>68</v>
      </c>
      <c r="D15" s="83" t="s">
        <v>107</v>
      </c>
      <c r="E15" s="98"/>
      <c r="F15" s="98"/>
      <c r="G15" s="99"/>
      <c r="H15" s="100"/>
      <c r="I15" s="101"/>
      <c r="J15" s="87" t="s">
        <v>112</v>
      </c>
      <c r="K15" s="88" t="str">
        <f>IFERROR(VLOOKUP($D15,$Y$9:$AB$10,2,FALSE)/IF($D15="Inhalation",IF($J15="Central Tendency",SUMIFS('Inhalation Exposure_Short-Term'!$F$7:$F$397,'Inhalation Exposure_Short-Term'!$B$7:$B$397,$B15,'Inhalation Exposure_Short-Term'!$D$7:$D$397,$C15),SUMIFS('Inhalation Exposure_Short-Term'!$G$7:$G$397,'Inhalation Exposure_Short-Term'!$B$7:$B$397,$B15,'Inhalation Exposure_Short-Term'!$D$7:$D$397,$C15)),IF($J15="Central Tendency",VLOOKUP($B15,'Dermal Exposure'!$A$6:$L$19,9,FALSE),VLOOKUP($B15,'Dermal Exposure'!$A$6:$L$19,4,FALSE))),"--")</f>
        <v>--</v>
      </c>
      <c r="L15" s="88">
        <f>IFERROR(VLOOKUP($D15,$Y$9:$AB$10,2,FALSE)/IF($D15="Inhalation",IF($J15="Central Tendency",SUMIFS('Inhalation Exposure_8-hr'!$H$6:$H$411,'Inhalation Exposure_8-hr'!$B$6:$B$411,$B15,'Inhalation Exposure_8-hr'!$D$6:$D$411,$C15),SUMIFS('Inhalation Exposure_8-hr'!$I$6:$I$411,'Inhalation Exposure_8-hr'!$B$6:$B$411,$B15,'Inhalation Exposure_8-hr'!$D$6:$D$411,$C15)),IF($J15="Central Tendency",VLOOKUP($B15,'Dermal Exposure'!$A$6:$L$19,9,FALSE),VLOOKUP($B15,'Dermal Exposure'!$A$6:$L$19,4,FALSE))),"--")</f>
        <v>2525.3669909994419</v>
      </c>
      <c r="M15" s="88">
        <f>IFERROR(VLOOKUP($D15,$Y$9:$AB$10,3,FALSE)/IF($D15="Inhalation",IF($J15="Central Tendency",SUMIFS('Inhalation Exposure_8-hr'!$L$6:$L$411,'Inhalation Exposure_8-hr'!$B$6:$B$411,$B15,'Inhalation Exposure_8-hr'!$D$6:$D$411,$C15),SUMIFS('Inhalation Exposure_8-hr'!$M$6:$M$411,'Inhalation Exposure_8-hr'!$B$6:$B$411,$B15,'Inhalation Exposure_8-hr'!$D$6:$D$411,$C15)),IF($J15="Central Tendency",VLOOKUP($B15,'Dermal Exposure'!$A$6:$L$19,10,FALSE),VLOOKUP($B15,'Dermal Exposure'!$A$6:$L$19,5,FALSE))),"--")</f>
        <v>74.66764061228919</v>
      </c>
      <c r="N15" s="89">
        <f>IFERROR(VLOOKUP($D15,$Y$9:$AB$10,4,FALSE)/IF($D15="Inhalation",IF($J15="Central Tendency",SUMIFS('Inhalation Exposure_8-hr'!$N$6:$N$411,'Inhalation Exposure_8-hr'!$B$6:$B$411,$B15,'Inhalation Exposure_8-hr'!$D$6:$D$411,$C15),SUMIFS('Inhalation Exposure_8-hr'!$O$6:$O$411,'Inhalation Exposure_8-hr'!$B$6:$B$411,$B15,'Inhalation Exposure_8-hr'!$D$6:$D$411,$C15)),IF($J15="Central Tendency",VLOOKUP($B15,'Dermal Exposure'!$A$6:$L$19,11,FALSE),VLOOKUP($B15,'Dermal Exposure'!$A$6:$L$19,6,FALSE))),"--")</f>
        <v>79.944153882224285</v>
      </c>
      <c r="O15" s="90" t="str">
        <f>IFERROR(K15*T15, "--")</f>
        <v>--</v>
      </c>
      <c r="P15" s="91">
        <f>IFERROR(L15*U15, "--")</f>
        <v>25253.66990999442</v>
      </c>
      <c r="Q15" s="91">
        <f>IFERROR(M15*V15, "--")</f>
        <v>746.67640612289188</v>
      </c>
      <c r="R15" s="91">
        <f>IFERROR(N15*W15, "--")</f>
        <v>799.44153882224282</v>
      </c>
      <c r="T15" s="109">
        <v>10</v>
      </c>
      <c r="U15" s="110">
        <v>10</v>
      </c>
      <c r="V15" s="110">
        <v>10</v>
      </c>
      <c r="W15" s="111">
        <v>10</v>
      </c>
    </row>
    <row r="16" spans="1:28" ht="15" thickBot="1" x14ac:dyDescent="0.4">
      <c r="B16" s="82" t="s">
        <v>113</v>
      </c>
      <c r="C16" s="83" t="s">
        <v>68</v>
      </c>
      <c r="D16" s="83" t="s">
        <v>107</v>
      </c>
      <c r="E16" s="98"/>
      <c r="F16" s="98"/>
      <c r="G16" s="112"/>
      <c r="H16" s="100"/>
      <c r="I16" s="113"/>
      <c r="J16" s="102"/>
      <c r="K16" s="103"/>
      <c r="L16" s="103"/>
      <c r="M16" s="103"/>
      <c r="N16" s="104"/>
      <c r="O16" s="105" t="str">
        <f>CONCATENATE("(APF ",T15,")")</f>
        <v>(APF 10)</v>
      </c>
      <c r="P16" s="105" t="str">
        <f>CONCATENATE("(APF ",U15,")")</f>
        <v>(APF 10)</v>
      </c>
      <c r="Q16" s="105" t="str">
        <f>CONCATENATE("(APF ",V15,")")</f>
        <v>(APF 10)</v>
      </c>
      <c r="R16" s="105" t="str">
        <f>CONCATENATE("(APF ",W15,")")</f>
        <v>(APF 10)</v>
      </c>
      <c r="T16" s="114" t="s">
        <v>111</v>
      </c>
      <c r="U16" s="115" t="s">
        <v>111</v>
      </c>
      <c r="V16" s="115" t="s">
        <v>111</v>
      </c>
      <c r="W16" s="116" t="s">
        <v>111</v>
      </c>
    </row>
    <row r="17" spans="2:29" ht="15.75" customHeight="1" thickBot="1" x14ac:dyDescent="0.4">
      <c r="B17" s="82" t="s">
        <v>114</v>
      </c>
      <c r="C17" s="83" t="s">
        <v>68</v>
      </c>
      <c r="D17" s="83" t="s">
        <v>107</v>
      </c>
      <c r="E17" s="98"/>
      <c r="F17" s="98"/>
      <c r="G17" s="85" t="s">
        <v>323</v>
      </c>
      <c r="H17" s="100"/>
      <c r="I17" s="86" t="s">
        <v>110</v>
      </c>
      <c r="J17" s="87" t="s">
        <v>71</v>
      </c>
      <c r="K17" s="88" t="str">
        <f>IFERROR(VLOOKUP($D17,$Y$9:$AB$10,2,FALSE)/IF($D17="Inhalation",IF($J17="Central Tendency",SUMIFS('Inhalation Exposure_Short-Term'!$F$7:$F$397,'Inhalation Exposure_Short-Term'!$B$7:$B$397,$B17,'Inhalation Exposure_Short-Term'!$D$7:$D$397,$C17),SUMIFS('Inhalation Exposure_Short-Term'!$G$7:$G$397,'Inhalation Exposure_Short-Term'!$B$7:$B$397,$B17,'Inhalation Exposure_Short-Term'!$D$7:$D$397,$C17)),IF($J17="Central Tendency",VLOOKUP($B17,'Dermal Exposure'!$A$6:$L$19,9,FALSE),VLOOKUP($B17,'Dermal Exposure'!$A$6:$L$19,4,FALSE))),"--")</f>
        <v>--</v>
      </c>
      <c r="L17" s="88">
        <f>IFERROR(VLOOKUP($D17,$Y$9:$AB$10,2,FALSE)/IF($D17="Inhalation",IF($J17="Central Tendency",SUMIFS('Inhalation Exposure_8-hr'!$H$6:$H$411,'Inhalation Exposure_8-hr'!$B$6:$B$411,$B17,'Inhalation Exposure_8-hr'!$D$6:$D$411,$C17),SUMIFS('Inhalation Exposure_8-hr'!$I$6:$I$411,'Inhalation Exposure_8-hr'!$B$6:$B$411,$B17,'Inhalation Exposure_8-hr'!$D$6:$D$411,$C17)),IF($J17="Central Tendency",VLOOKUP($B17,'Dermal Exposure'!$A$6:$L$19,9,FALSE),VLOOKUP($B17,'Dermal Exposure'!$A$6:$L$19,4,FALSE))),"--")</f>
        <v>240.29249550721943</v>
      </c>
      <c r="M17" s="117">
        <f>IFERROR(VLOOKUP($D17,$Y$9:$AB$10,3,FALSE)/IF($D17="Inhalation",IF($J17="Central Tendency",SUMIFS('Inhalation Exposure_8-hr'!$L$6:$L$411,'Inhalation Exposure_8-hr'!$B$6:$B$411,$B17,'Inhalation Exposure_8-hr'!$D$6:$D$411,$C17),SUMIFS('Inhalation Exposure_8-hr'!$M$6:$M$411,'Inhalation Exposure_8-hr'!$B$6:$B$411,$B17,'Inhalation Exposure_8-hr'!$D$6:$D$411,$C17)),IF($J17="Central Tendency",VLOOKUP($B17,'Dermal Exposure'!$A$6:$L$19,10,FALSE),VLOOKUP($B17,'Dermal Exposure'!$A$6:$L$19,5,FALSE))),"--")</f>
        <v>7.1047391370481146</v>
      </c>
      <c r="N17" s="89">
        <f>IFERROR(VLOOKUP($D17,$Y$9:$AB$10,4,FALSE)/IF($D17="Inhalation",IF($J17="Central Tendency",SUMIFS('Inhalation Exposure_8-hr'!$N$6:$N$411,'Inhalation Exposure_8-hr'!$B$6:$B$411,$B17,'Inhalation Exposure_8-hr'!$D$6:$D$411,$C17),SUMIFS('Inhalation Exposure_8-hr'!$O$6:$O$411,'Inhalation Exposure_8-hr'!$B$6:$B$411,$B17,'Inhalation Exposure_8-hr'!$D$6:$D$411,$C17)),IF($J17="Central Tendency",VLOOKUP($B17,'Dermal Exposure'!$A$6:$L$19,11,FALSE),VLOOKUP($B17,'Dermal Exposure'!$A$6:$L$19,6,FALSE))),"--")</f>
        <v>7.6068073693995171</v>
      </c>
      <c r="O17" s="90" t="str">
        <f>IFERROR(K17*T17, "--")</f>
        <v>--</v>
      </c>
      <c r="P17" s="91">
        <f>IFERROR(L17*U17, "--")</f>
        <v>2402.9249550721943</v>
      </c>
      <c r="Q17" s="91">
        <f>IFERROR(M17*V17, "--")</f>
        <v>71.047391370481151</v>
      </c>
      <c r="R17" s="91">
        <f>IFERROR(N17*W17, "--")</f>
        <v>380.34036846997583</v>
      </c>
      <c r="T17" s="92">
        <v>10</v>
      </c>
      <c r="U17" s="93">
        <v>10</v>
      </c>
      <c r="V17" s="93">
        <v>10</v>
      </c>
      <c r="W17" s="94">
        <v>50</v>
      </c>
    </row>
    <row r="18" spans="2:29" ht="15" thickBot="1" x14ac:dyDescent="0.4">
      <c r="B18" s="82" t="s">
        <v>114</v>
      </c>
      <c r="C18" s="83" t="s">
        <v>68</v>
      </c>
      <c r="D18" s="83" t="s">
        <v>107</v>
      </c>
      <c r="E18" s="98"/>
      <c r="F18" s="98"/>
      <c r="G18" s="99"/>
      <c r="H18" s="100"/>
      <c r="I18" s="101"/>
      <c r="J18" s="102"/>
      <c r="K18" s="103"/>
      <c r="L18" s="103"/>
      <c r="M18" s="103"/>
      <c r="N18" s="104"/>
      <c r="O18" s="105" t="str">
        <f>CONCATENATE("(APF ",T17,")")</f>
        <v>(APF 10)</v>
      </c>
      <c r="P18" s="105" t="str">
        <f>CONCATENATE("(APF ",U17,")")</f>
        <v>(APF 10)</v>
      </c>
      <c r="Q18" s="105" t="str">
        <f>CONCATENATE("(APF ",V17,")")</f>
        <v>(APF 10)</v>
      </c>
      <c r="R18" s="105" t="str">
        <f>CONCATENATE("(APF ",W17,")")</f>
        <v>(APF 50)</v>
      </c>
      <c r="T18" s="106" t="s">
        <v>111</v>
      </c>
      <c r="U18" s="107" t="s">
        <v>111</v>
      </c>
      <c r="V18" s="107" t="s">
        <v>111</v>
      </c>
      <c r="W18" s="108" t="s">
        <v>111</v>
      </c>
    </row>
    <row r="19" spans="2:29" ht="15" thickBot="1" x14ac:dyDescent="0.4">
      <c r="B19" s="82" t="s">
        <v>114</v>
      </c>
      <c r="C19" s="83" t="s">
        <v>68</v>
      </c>
      <c r="D19" s="83" t="s">
        <v>107</v>
      </c>
      <c r="E19" s="98"/>
      <c r="F19" s="98"/>
      <c r="G19" s="99"/>
      <c r="H19" s="100"/>
      <c r="I19" s="101"/>
      <c r="J19" s="87" t="s">
        <v>112</v>
      </c>
      <c r="K19" s="88" t="str">
        <f>IFERROR(VLOOKUP($D19,$Y$9:$AB$10,2,FALSE)/IF($D19="Inhalation",IF($J19="Central Tendency",SUMIFS('Inhalation Exposure_Short-Term'!$F$7:$F$397,'Inhalation Exposure_Short-Term'!$B$7:$B$397,$B19,'Inhalation Exposure_Short-Term'!$D$7:$D$397,$C19),SUMIFS('Inhalation Exposure_Short-Term'!$G$7:$G$397,'Inhalation Exposure_Short-Term'!$B$7:$B$397,$B19,'Inhalation Exposure_Short-Term'!$D$7:$D$397,$C19)),IF($J19="Central Tendency",VLOOKUP($B19,'Dermal Exposure'!$A$6:$L$19,9,FALSE),VLOOKUP($B19,'Dermal Exposure'!$A$6:$L$19,4,FALSE))),"--")</f>
        <v>--</v>
      </c>
      <c r="L19" s="88">
        <f>IFERROR(VLOOKUP($D19,$Y$9:$AB$10,2,FALSE)/IF($D19="Inhalation",IF($J19="Central Tendency",SUMIFS('Inhalation Exposure_8-hr'!$H$6:$H$411,'Inhalation Exposure_8-hr'!$B$6:$B$411,$B19,'Inhalation Exposure_8-hr'!$D$6:$D$411,$C19),SUMIFS('Inhalation Exposure_8-hr'!$I$6:$I$411,'Inhalation Exposure_8-hr'!$B$6:$B$411,$B19,'Inhalation Exposure_8-hr'!$D$6:$D$411,$C19)),IF($J19="Central Tendency",VLOOKUP($B19,'Dermal Exposure'!$A$6:$L$19,9,FALSE),VLOOKUP($B19,'Dermal Exposure'!$A$6:$L$19,4,FALSE))),"--")</f>
        <v>66.635734048220513</v>
      </c>
      <c r="M19" s="88">
        <f>IFERROR(VLOOKUP($D19,$Y$9:$AB$10,3,FALSE)/IF($D19="Inhalation",IF($J19="Central Tendency",SUMIFS('Inhalation Exposure_8-hr'!$L$6:$L$411,'Inhalation Exposure_8-hr'!$B$6:$B$411,$B19,'Inhalation Exposure_8-hr'!$D$6:$D$411,$C19),SUMIFS('Inhalation Exposure_8-hr'!$M$6:$M$411,'Inhalation Exposure_8-hr'!$B$6:$B$411,$B19,'Inhalation Exposure_8-hr'!$D$6:$D$411,$C19)),IF($J19="Central Tendency",VLOOKUP($B19,'Dermal Exposure'!$A$6:$L$19,10,FALSE),VLOOKUP($B19,'Dermal Exposure'!$A$6:$L$19,5,FALSE))),"--")</f>
        <v>1.9702217775007385</v>
      </c>
      <c r="N19" s="89">
        <f>IFERROR(VLOOKUP($D19,$Y$9:$AB$10,4,FALSE)/IF($D19="Inhalation",IF($J19="Central Tendency",SUMIFS('Inhalation Exposure_8-hr'!$N$6:$N$411,'Inhalation Exposure_8-hr'!$B$6:$B$411,$B19,'Inhalation Exposure_8-hr'!$D$6:$D$411,$C19),SUMIFS('Inhalation Exposure_8-hr'!$O$6:$O$411,'Inhalation Exposure_8-hr'!$B$6:$B$411,$B19,'Inhalation Exposure_8-hr'!$D$6:$D$411,$C19)),IF($J19="Central Tendency",VLOOKUP($B19,'Dermal Exposure'!$A$6:$L$19,11,FALSE),VLOOKUP($B19,'Dermal Exposure'!$A$6:$L$19,6,FALSE))),"--")</f>
        <v>2.1094507831107907</v>
      </c>
      <c r="O19" s="90" t="str">
        <f>IFERROR(K19*T19, "--")</f>
        <v>--</v>
      </c>
      <c r="P19" s="91">
        <f>IFERROR(L19*U19, "--")</f>
        <v>666.35734048220513</v>
      </c>
      <c r="Q19" s="91">
        <f>IFERROR(M19*V19, "--")</f>
        <v>98.511088875036918</v>
      </c>
      <c r="R19" s="91">
        <f>IFERROR(N19*W19, "--")</f>
        <v>105.47253915553954</v>
      </c>
      <c r="T19" s="109">
        <v>10</v>
      </c>
      <c r="U19" s="110">
        <v>10</v>
      </c>
      <c r="V19" s="110">
        <v>50</v>
      </c>
      <c r="W19" s="111">
        <v>50</v>
      </c>
    </row>
    <row r="20" spans="2:29" ht="15" thickBot="1" x14ac:dyDescent="0.4">
      <c r="B20" s="82" t="s">
        <v>114</v>
      </c>
      <c r="C20" s="83" t="s">
        <v>68</v>
      </c>
      <c r="D20" s="83" t="s">
        <v>107</v>
      </c>
      <c r="E20" s="98"/>
      <c r="F20" s="98"/>
      <c r="G20" s="112"/>
      <c r="H20" s="100"/>
      <c r="I20" s="113"/>
      <c r="J20" s="102"/>
      <c r="K20" s="103"/>
      <c r="L20" s="103"/>
      <c r="M20" s="103"/>
      <c r="N20" s="104"/>
      <c r="O20" s="105" t="str">
        <f>CONCATENATE("(APF ",T19,")")</f>
        <v>(APF 10)</v>
      </c>
      <c r="P20" s="105" t="str">
        <f>CONCATENATE("(APF ",U19,")")</f>
        <v>(APF 10)</v>
      </c>
      <c r="Q20" s="105" t="str">
        <f>CONCATENATE("(APF ",V19,")")</f>
        <v>(APF 50)</v>
      </c>
      <c r="R20" s="105" t="str">
        <f>CONCATENATE("(APF ",W19,")")</f>
        <v>(APF 50)</v>
      </c>
      <c r="T20" s="114" t="s">
        <v>111</v>
      </c>
      <c r="U20" s="115" t="s">
        <v>111</v>
      </c>
      <c r="V20" s="115" t="s">
        <v>111</v>
      </c>
      <c r="W20" s="116" t="s">
        <v>111</v>
      </c>
    </row>
    <row r="21" spans="2:29" ht="15.75" customHeight="1" thickBot="1" x14ac:dyDescent="0.4">
      <c r="B21" s="82" t="s">
        <v>115</v>
      </c>
      <c r="C21" s="83" t="s">
        <v>68</v>
      </c>
      <c r="D21" s="83" t="s">
        <v>107</v>
      </c>
      <c r="E21" s="98"/>
      <c r="F21" s="98"/>
      <c r="G21" s="85" t="s">
        <v>324</v>
      </c>
      <c r="H21" s="100"/>
      <c r="I21" s="86" t="s">
        <v>110</v>
      </c>
      <c r="J21" s="87" t="s">
        <v>71</v>
      </c>
      <c r="K21" s="88" t="str">
        <f>IFERROR(VLOOKUP($D21,$Y$9:$AB$10,2,FALSE)/IF($D21="Inhalation",IF($J21="Central Tendency",SUMIFS('Inhalation Exposure_Short-Term'!$F$7:$F$397,'Inhalation Exposure_Short-Term'!$B$7:$B$397,$B21,'Inhalation Exposure_Short-Term'!$D$7:$D$397,$C21),SUMIFS('Inhalation Exposure_Short-Term'!$G$7:$G$397,'Inhalation Exposure_Short-Term'!$B$7:$B$397,$B21,'Inhalation Exposure_Short-Term'!$D$7:$D$397,$C21)),IF($J21="Central Tendency",VLOOKUP($B21,'Dermal Exposure'!$A$6:$L$19,9,FALSE),VLOOKUP($B21,'Dermal Exposure'!$A$6:$L$19,4,FALSE))),"--")</f>
        <v>--</v>
      </c>
      <c r="L21" s="88">
        <f>IFERROR(VLOOKUP($D21,$Y$9:$AB$10,2,FALSE)/IF($D21="Inhalation",IF($J21="Central Tendency",SUMIFS('Inhalation Exposure_8-hr'!$H$6:$H$411,'Inhalation Exposure_8-hr'!$B$6:$B$411,$B21,'Inhalation Exposure_8-hr'!$D$6:$D$411,$C21),SUMIFS('Inhalation Exposure_8-hr'!$I$6:$I$411,'Inhalation Exposure_8-hr'!$B$6:$B$411,$B21,'Inhalation Exposure_8-hr'!$D$6:$D$411,$C21)),IF($J21="Central Tendency",VLOOKUP($B21,'Dermal Exposure'!$A$6:$L$19,9,FALSE),VLOOKUP($B21,'Dermal Exposure'!$A$6:$L$19,4,FALSE))),"--")</f>
        <v>159522.53853460378</v>
      </c>
      <c r="M21" s="88">
        <f>IFERROR(VLOOKUP($D21,$Y$9:$AB$10,3,FALSE)/IF($D21="Inhalation",IF($J21="Central Tendency",SUMIFS('Inhalation Exposure_8-hr'!$L$6:$L$411,'Inhalation Exposure_8-hr'!$B$6:$B$411,$B21,'Inhalation Exposure_8-hr'!$D$6:$D$411,$C21),SUMIFS('Inhalation Exposure_8-hr'!$M$6:$M$411,'Inhalation Exposure_8-hr'!$B$6:$B$411,$B21,'Inhalation Exposure_8-hr'!$D$6:$D$411,$C21)),IF($J21="Central Tendency",VLOOKUP($B21,'Dermal Exposure'!$A$6:$L$19,10,FALSE),VLOOKUP($B21,'Dermal Exposure'!$A$6:$L$19,5,FALSE))),"--")</f>
        <v>4716.6101478771079</v>
      </c>
      <c r="N21" s="89">
        <f>IFERROR(VLOOKUP($D21,$Y$9:$AB$10,4,FALSE)/IF($D21="Inhalation",IF($J21="Central Tendency",SUMIFS('Inhalation Exposure_8-hr'!$N$6:$N$411,'Inhalation Exposure_8-hr'!$B$6:$B$411,$B21,'Inhalation Exposure_8-hr'!$D$6:$D$411,$C21),SUMIFS('Inhalation Exposure_8-hr'!$O$6:$O$411,'Inhalation Exposure_8-hr'!$B$6:$B$411,$B21,'Inhalation Exposure_8-hr'!$D$6:$D$411,$C21)),IF($J21="Central Tendency",VLOOKUP($B21,'Dermal Exposure'!$A$6:$L$19,11,FALSE),VLOOKUP($B21,'Dermal Exposure'!$A$6:$L$19,6,FALSE))),"--")</f>
        <v>5049.9172649937564</v>
      </c>
      <c r="O21" s="90" t="str">
        <f>IFERROR(K21*T21, "--")</f>
        <v>--</v>
      </c>
      <c r="P21" s="91">
        <f>IFERROR(L21*U21, "--")</f>
        <v>1595225.3853460378</v>
      </c>
      <c r="Q21" s="91">
        <f>IFERROR(M21*V21, "--")</f>
        <v>47166.101478771081</v>
      </c>
      <c r="R21" s="91">
        <f>IFERROR(N21*W21, "--")</f>
        <v>50499.172649937565</v>
      </c>
      <c r="T21" s="92">
        <v>10</v>
      </c>
      <c r="U21" s="93">
        <v>10</v>
      </c>
      <c r="V21" s="93">
        <v>10</v>
      </c>
      <c r="W21" s="94">
        <v>10</v>
      </c>
    </row>
    <row r="22" spans="2:29" ht="15" thickBot="1" x14ac:dyDescent="0.4">
      <c r="B22" s="82" t="s">
        <v>115</v>
      </c>
      <c r="C22" s="83" t="s">
        <v>68</v>
      </c>
      <c r="D22" s="83" t="s">
        <v>107</v>
      </c>
      <c r="E22" s="98"/>
      <c r="F22" s="98"/>
      <c r="G22" s="99"/>
      <c r="H22" s="100"/>
      <c r="I22" s="101"/>
      <c r="J22" s="102"/>
      <c r="K22" s="103"/>
      <c r="L22" s="103"/>
      <c r="M22" s="103"/>
      <c r="N22" s="104"/>
      <c r="O22" s="105" t="str">
        <f>CONCATENATE("(APF ",T21,")")</f>
        <v>(APF 10)</v>
      </c>
      <c r="P22" s="105" t="str">
        <f>CONCATENATE("(APF ",U21,")")</f>
        <v>(APF 10)</v>
      </c>
      <c r="Q22" s="105" t="str">
        <f>CONCATENATE("(APF ",V21,")")</f>
        <v>(APF 10)</v>
      </c>
      <c r="R22" s="105" t="str">
        <f>CONCATENATE("(APF ",W21,")")</f>
        <v>(APF 10)</v>
      </c>
      <c r="T22" s="106" t="s">
        <v>111</v>
      </c>
      <c r="U22" s="107" t="s">
        <v>111</v>
      </c>
      <c r="V22" s="107" t="s">
        <v>111</v>
      </c>
      <c r="W22" s="108" t="s">
        <v>111</v>
      </c>
    </row>
    <row r="23" spans="2:29" ht="15" thickBot="1" x14ac:dyDescent="0.4">
      <c r="B23" s="82" t="s">
        <v>115</v>
      </c>
      <c r="C23" s="83" t="s">
        <v>68</v>
      </c>
      <c r="D23" s="83" t="s">
        <v>107</v>
      </c>
      <c r="E23" s="98"/>
      <c r="F23" s="98"/>
      <c r="G23" s="99"/>
      <c r="H23" s="100"/>
      <c r="I23" s="101"/>
      <c r="J23" s="87" t="s">
        <v>112</v>
      </c>
      <c r="K23" s="88" t="str">
        <f>IFERROR(VLOOKUP($D23,$Y$9:$AB$10,2,FALSE)/IF($D23="Inhalation",IF($J23="Central Tendency",SUMIFS('Inhalation Exposure_Short-Term'!$F$7:$F$397,'Inhalation Exposure_Short-Term'!$B$7:$B$397,$B23,'Inhalation Exposure_Short-Term'!$D$7:$D$397,$C23),SUMIFS('Inhalation Exposure_Short-Term'!$G$7:$G$397,'Inhalation Exposure_Short-Term'!$B$7:$B$397,$B23,'Inhalation Exposure_Short-Term'!$D$7:$D$397,$C23)),IF($J23="Central Tendency",VLOOKUP($B23,'Dermal Exposure'!$A$6:$L$19,9,FALSE),VLOOKUP($B23,'Dermal Exposure'!$A$6:$L$19,4,FALSE))),"--")</f>
        <v>--</v>
      </c>
      <c r="L23" s="88">
        <f>IFERROR(VLOOKUP($D23,$Y$9:$AB$10,2,FALSE)/IF($D23="Inhalation",IF($J23="Central Tendency",SUMIFS('Inhalation Exposure_8-hr'!$H$6:$H$411,'Inhalation Exposure_8-hr'!$B$6:$B$411,$B23,'Inhalation Exposure_8-hr'!$D$6:$D$411,$C23),SUMIFS('Inhalation Exposure_8-hr'!$I$6:$I$411,'Inhalation Exposure_8-hr'!$B$6:$B$411,$B23,'Inhalation Exposure_8-hr'!$D$6:$D$411,$C23)),IF($J23="Central Tendency",VLOOKUP($B23,'Dermal Exposure'!$A$6:$L$19,9,FALSE),VLOOKUP($B23,'Dermal Exposure'!$A$6:$L$19,4,FALSE))),"--")</f>
        <v>155075.45325153373</v>
      </c>
      <c r="M23" s="88">
        <f>IFERROR(VLOOKUP($D23,$Y$9:$AB$10,3,FALSE)/IF($D23="Inhalation",IF($J23="Central Tendency",SUMIFS('Inhalation Exposure_8-hr'!$L$6:$L$411,'Inhalation Exposure_8-hr'!$B$6:$B$411,$B23,'Inhalation Exposure_8-hr'!$D$6:$D$411,$C23),SUMIFS('Inhalation Exposure_8-hr'!$M$6:$M$411,'Inhalation Exposure_8-hr'!$B$6:$B$411,$B23,'Inhalation Exposure_8-hr'!$D$6:$D$411,$C23)),IF($J23="Central Tendency",VLOOKUP($B23,'Dermal Exposure'!$A$6:$L$19,10,FALSE),VLOOKUP($B23,'Dermal Exposure'!$A$6:$L$19,5,FALSE))),"--")</f>
        <v>4585.1229751723358</v>
      </c>
      <c r="N23" s="89">
        <f>IFERROR(VLOOKUP($D23,$Y$9:$AB$10,4,FALSE)/IF($D23="Inhalation",IF($J23="Central Tendency",SUMIFS('Inhalation Exposure_8-hr'!$N$6:$N$411,'Inhalation Exposure_8-hr'!$B$6:$B$411,$B23,'Inhalation Exposure_8-hr'!$D$6:$D$411,$C23),SUMIFS('Inhalation Exposure_8-hr'!$O$6:$O$411,'Inhalation Exposure_8-hr'!$B$6:$B$411,$B23,'Inhalation Exposure_8-hr'!$D$6:$D$411,$C23)),IF($J23="Central Tendency",VLOOKUP($B23,'Dermal Exposure'!$A$6:$L$19,11,FALSE),VLOOKUP($B23,'Dermal Exposure'!$A$6:$L$19,6,FALSE))),"--")</f>
        <v>4909.1383320845143</v>
      </c>
      <c r="O23" s="90" t="str">
        <f>IFERROR(K23*T23, "--")</f>
        <v>--</v>
      </c>
      <c r="P23" s="91">
        <f>IFERROR(L23*U23, "--")</f>
        <v>1550754.5325153372</v>
      </c>
      <c r="Q23" s="91">
        <f>IFERROR(M23*V23, "--")</f>
        <v>45851.22975172336</v>
      </c>
      <c r="R23" s="91">
        <f>IFERROR(N23*W23, "--")</f>
        <v>49091.38332084514</v>
      </c>
      <c r="T23" s="109">
        <v>10</v>
      </c>
      <c r="U23" s="110">
        <v>10</v>
      </c>
      <c r="V23" s="110">
        <v>10</v>
      </c>
      <c r="W23" s="111">
        <v>10</v>
      </c>
    </row>
    <row r="24" spans="2:29" ht="15" thickBot="1" x14ac:dyDescent="0.4">
      <c r="B24" s="82" t="s">
        <v>115</v>
      </c>
      <c r="C24" s="83" t="s">
        <v>68</v>
      </c>
      <c r="D24" s="83" t="s">
        <v>107</v>
      </c>
      <c r="E24" s="98"/>
      <c r="F24" s="98"/>
      <c r="G24" s="112"/>
      <c r="H24" s="100"/>
      <c r="I24" s="113"/>
      <c r="J24" s="102"/>
      <c r="K24" s="103"/>
      <c r="L24" s="103"/>
      <c r="M24" s="103"/>
      <c r="N24" s="104"/>
      <c r="O24" s="105" t="str">
        <f>CONCATENATE("(APF ",T23,")")</f>
        <v>(APF 10)</v>
      </c>
      <c r="P24" s="105" t="str">
        <f>CONCATENATE("(APF ",U23,")")</f>
        <v>(APF 10)</v>
      </c>
      <c r="Q24" s="105" t="str">
        <f>CONCATENATE("(APF ",V23,")")</f>
        <v>(APF 10)</v>
      </c>
      <c r="R24" s="105" t="str">
        <f>CONCATENATE("(APF ",W23,")")</f>
        <v>(APF 10)</v>
      </c>
      <c r="T24" s="114" t="s">
        <v>111</v>
      </c>
      <c r="U24" s="115" t="s">
        <v>111</v>
      </c>
      <c r="V24" s="115" t="s">
        <v>111</v>
      </c>
      <c r="W24" s="116" t="s">
        <v>111</v>
      </c>
    </row>
    <row r="25" spans="2:29" ht="15.75" customHeight="1" thickBot="1" x14ac:dyDescent="0.4">
      <c r="B25" s="82" t="s">
        <v>116</v>
      </c>
      <c r="C25" s="83" t="s">
        <v>80</v>
      </c>
      <c r="D25" s="83" t="s">
        <v>107</v>
      </c>
      <c r="E25" s="98"/>
      <c r="F25" s="98"/>
      <c r="G25" s="85" t="s">
        <v>455</v>
      </c>
      <c r="H25" s="86" t="s">
        <v>80</v>
      </c>
      <c r="I25" s="86" t="s">
        <v>110</v>
      </c>
      <c r="J25" s="87" t="s">
        <v>71</v>
      </c>
      <c r="K25" s="88" t="str">
        <f>IFERROR(VLOOKUP($D25,$Y$9:$AB$10,2,FALSE)/IF($D25="Inhalation",IF($J25="Central Tendency",SUMIFS('Inhalation Exposure_Short-Term'!$F$7:$F$397,'Inhalation Exposure_Short-Term'!$B$7:$B$397,$B25,'Inhalation Exposure_Short-Term'!$D$7:$D$397,$C25),SUMIFS('Inhalation Exposure_Short-Term'!$G$7:$G$397,'Inhalation Exposure_Short-Term'!$B$7:$B$397,$B25,'Inhalation Exposure_Short-Term'!$D$7:$D$397,$C25)),IF($J25="Central Tendency",VLOOKUP($B25,'Dermal Exposure'!$A$6:$L$19,9,FALSE),VLOOKUP($B25,'Dermal Exposure'!$A$6:$L$19,4,FALSE))),"--")</f>
        <v>--</v>
      </c>
      <c r="L25" s="88">
        <f>IFERROR(VLOOKUP($D25,$Y$9:$AB$10,2,FALSE)/IF($D25="Inhalation",IF($J25="Central Tendency",SUMIFS('Inhalation Exposure_8-hr'!$H$6:$H$411,'Inhalation Exposure_8-hr'!$B$6:$B$411,$B25,'Inhalation Exposure_8-hr'!$D$6:$D$411,$C25),SUMIFS('Inhalation Exposure_8-hr'!$I$6:$I$411,'Inhalation Exposure_8-hr'!$B$6:$B$411,$B25,'Inhalation Exposure_8-hr'!$D$6:$D$411,$C25)),IF($J25="Central Tendency",VLOOKUP($B25,'Dermal Exposure'!$A$6:$L$19,9,FALSE),VLOOKUP($B25,'Dermal Exposure'!$A$6:$L$19,4,FALSE))),"--")</f>
        <v>114683.70728834355</v>
      </c>
      <c r="M25" s="88">
        <f>IFERROR(VLOOKUP($D25,$Y$9:$AB$10,3,FALSE)/IF($D25="Inhalation",IF($J25="Central Tendency",SUMIFS('Inhalation Exposure_8-hr'!$L$6:$L$411,'Inhalation Exposure_8-hr'!$B$6:$B$411,$B25,'Inhalation Exposure_8-hr'!$D$6:$D$411,$C25),SUMIFS('Inhalation Exposure_8-hr'!$M$6:$M$411,'Inhalation Exposure_8-hr'!$B$6:$B$411,$B25,'Inhalation Exposure_8-hr'!$D$6:$D$411,$C25)),IF($J25="Central Tendency",VLOOKUP($B25,'Dermal Exposure'!$A$6:$L$19,10,FALSE),VLOOKUP($B25,'Dermal Exposure'!$A$6:$L$19,5,FALSE))),"--")</f>
        <v>3390.8583862902397</v>
      </c>
      <c r="N25" s="89">
        <f>IFERROR(VLOOKUP($D25,$Y$9:$AB$10,4,FALSE)/IF($D25="Inhalation",IF($J25="Central Tendency",SUMIFS('Inhalation Exposure_8-hr'!$N$6:$N$411,'Inhalation Exposure_8-hr'!$B$6:$B$411,$B25,'Inhalation Exposure_8-hr'!$D$6:$D$411,$C25),SUMIFS('Inhalation Exposure_8-hr'!$O$6:$O$411,'Inhalation Exposure_8-hr'!$B$6:$B$411,$B25,'Inhalation Exposure_8-hr'!$D$6:$D$411,$C25)),IF($J25="Central Tendency",VLOOKUP($B25,'Dermal Exposure'!$A$6:$L$19,11,FALSE),VLOOKUP($B25,'Dermal Exposure'!$A$6:$L$19,6,FALSE))),"--")</f>
        <v>3630.4790455880839</v>
      </c>
      <c r="O25" s="90" t="str">
        <f>IFERROR(K25*T25, "--")</f>
        <v>--</v>
      </c>
      <c r="P25" s="91">
        <f>IFERROR(L25*U25, "--")</f>
        <v>1146837.0728834355</v>
      </c>
      <c r="Q25" s="91">
        <f>IFERROR(M25*V25, "--")</f>
        <v>33908.583862902393</v>
      </c>
      <c r="R25" s="91">
        <f>IFERROR(N25*W25, "--")</f>
        <v>36304.790455880837</v>
      </c>
      <c r="T25" s="92">
        <v>10</v>
      </c>
      <c r="U25" s="93">
        <v>10</v>
      </c>
      <c r="V25" s="93">
        <v>10</v>
      </c>
      <c r="W25" s="94">
        <v>10</v>
      </c>
    </row>
    <row r="26" spans="2:29" ht="15" thickBot="1" x14ac:dyDescent="0.4">
      <c r="B26" s="82" t="s">
        <v>116</v>
      </c>
      <c r="C26" s="83" t="s">
        <v>80</v>
      </c>
      <c r="D26" s="83" t="s">
        <v>107</v>
      </c>
      <c r="E26" s="98"/>
      <c r="F26" s="98"/>
      <c r="G26" s="99"/>
      <c r="H26" s="100"/>
      <c r="I26" s="101"/>
      <c r="J26" s="102"/>
      <c r="K26" s="103"/>
      <c r="L26" s="103"/>
      <c r="M26" s="103"/>
      <c r="N26" s="104"/>
      <c r="O26" s="105" t="str">
        <f>CONCATENATE("(APF ",T25,")")</f>
        <v>(APF 10)</v>
      </c>
      <c r="P26" s="105" t="str">
        <f>CONCATENATE("(APF ",U25,")")</f>
        <v>(APF 10)</v>
      </c>
      <c r="Q26" s="105" t="str">
        <f>CONCATENATE("(APF ",V25,")")</f>
        <v>(APF 10)</v>
      </c>
      <c r="R26" s="105" t="str">
        <f>CONCATENATE("(APF ",W25,")")</f>
        <v>(APF 10)</v>
      </c>
      <c r="T26" s="106" t="s">
        <v>111</v>
      </c>
      <c r="U26" s="107" t="s">
        <v>111</v>
      </c>
      <c r="V26" s="107" t="s">
        <v>111</v>
      </c>
      <c r="W26" s="108" t="s">
        <v>111</v>
      </c>
    </row>
    <row r="27" spans="2:29" ht="15" thickBot="1" x14ac:dyDescent="0.4">
      <c r="B27" s="82" t="s">
        <v>116</v>
      </c>
      <c r="C27" s="83" t="s">
        <v>80</v>
      </c>
      <c r="D27" s="83" t="s">
        <v>107</v>
      </c>
      <c r="E27" s="98"/>
      <c r="F27" s="98"/>
      <c r="G27" s="99"/>
      <c r="H27" s="100"/>
      <c r="I27" s="101"/>
      <c r="J27" s="87" t="s">
        <v>112</v>
      </c>
      <c r="K27" s="88" t="str">
        <f>IFERROR(VLOOKUP($D27,$Y$9:$AB$10,2,FALSE)/IF($D27="Inhalation",IF($J27="Central Tendency",SUMIFS('Inhalation Exposure_Short-Term'!$F$7:$F$397,'Inhalation Exposure_Short-Term'!$B$7:$B$397,$B27,'Inhalation Exposure_Short-Term'!$D$7:$D$397,$C27),SUMIFS('Inhalation Exposure_Short-Term'!$G$7:$G$397,'Inhalation Exposure_Short-Term'!$B$7:$B$397,$B27,'Inhalation Exposure_Short-Term'!$D$7:$D$397,$C27)),IF($J27="Central Tendency",VLOOKUP($B27,'Dermal Exposure'!$A$6:$L$19,9,FALSE),VLOOKUP($B27,'Dermal Exposure'!$A$6:$L$19,4,FALSE))),"--")</f>
        <v>--</v>
      </c>
      <c r="L27" s="88">
        <f>IFERROR(VLOOKUP($D27,$Y$9:$AB$10,2,FALSE)/IF($D27="Inhalation",IF($J27="Central Tendency",SUMIFS('Inhalation Exposure_8-hr'!$H$6:$H$411,'Inhalation Exposure_8-hr'!$B$6:$B$411,$B27,'Inhalation Exposure_8-hr'!$D$6:$D$411,$C27),SUMIFS('Inhalation Exposure_8-hr'!$I$6:$I$411,'Inhalation Exposure_8-hr'!$B$6:$B$411,$B27,'Inhalation Exposure_8-hr'!$D$6:$D$411,$C27)),IF($J27="Central Tendency",VLOOKUP($B27,'Dermal Exposure'!$A$6:$L$19,9,FALSE),VLOOKUP($B27,'Dermal Exposure'!$A$6:$L$19,4,FALSE))),"--")</f>
        <v>13394.683026585015</v>
      </c>
      <c r="M27" s="88">
        <f>IFERROR(VLOOKUP($D27,$Y$9:$AB$10,3,FALSE)/IF($D27="Inhalation",IF($J27="Central Tendency",SUMIFS('Inhalation Exposure_8-hr'!$L$6:$L$411,'Inhalation Exposure_8-hr'!$B$6:$B$411,$B27,'Inhalation Exposure_8-hr'!$D$6:$D$411,$C27),SUMIFS('Inhalation Exposure_8-hr'!$M$6:$M$411,'Inhalation Exposure_8-hr'!$B$6:$B$411,$B27,'Inhalation Exposure_8-hr'!$D$6:$D$411,$C27)),IF($J27="Central Tendency",VLOOKUP($B27,'Dermal Exposure'!$A$6:$L$19,10,FALSE),VLOOKUP($B27,'Dermal Exposure'!$A$6:$L$19,5,FALSE))),"--")</f>
        <v>396.04120189626758</v>
      </c>
      <c r="N27" s="89">
        <f>IFERROR(VLOOKUP($D27,$Y$9:$AB$10,4,FALSE)/IF($D27="Inhalation",IF($J27="Central Tendency",SUMIFS('Inhalation Exposure_8-hr'!$N$6:$N$411,'Inhalation Exposure_8-hr'!$B$6:$B$411,$B27,'Inhalation Exposure_8-hr'!$D$6:$D$411,$C27),SUMIFS('Inhalation Exposure_8-hr'!$O$6:$O$411,'Inhalation Exposure_8-hr'!$B$6:$B$411,$B27,'Inhalation Exposure_8-hr'!$D$6:$D$411,$C27)),IF($J27="Central Tendency",VLOOKUP($B27,'Dermal Exposure'!$A$6:$L$19,11,FALSE),VLOOKUP($B27,'Dermal Exposure'!$A$6:$L$19,6,FALSE))),"--")</f>
        <v>424.02811349693718</v>
      </c>
      <c r="O27" s="90" t="str">
        <f>IFERROR(K27*T27, "--")</f>
        <v>--</v>
      </c>
      <c r="P27" s="91">
        <f>IFERROR(L27*U27, "--")</f>
        <v>133946.83026585015</v>
      </c>
      <c r="Q27" s="91">
        <f>IFERROR(M27*V27, "--")</f>
        <v>3960.4120189626756</v>
      </c>
      <c r="R27" s="91">
        <f>IFERROR(N27*W27, "--")</f>
        <v>21201.405674846857</v>
      </c>
      <c r="T27" s="109">
        <v>10</v>
      </c>
      <c r="U27" s="110">
        <v>10</v>
      </c>
      <c r="V27" s="110">
        <v>10</v>
      </c>
      <c r="W27" s="111">
        <v>50</v>
      </c>
    </row>
    <row r="28" spans="2:29" ht="15" thickBot="1" x14ac:dyDescent="0.4">
      <c r="B28" s="82" t="s">
        <v>116</v>
      </c>
      <c r="C28" s="83" t="s">
        <v>80</v>
      </c>
      <c r="D28" s="83" t="s">
        <v>107</v>
      </c>
      <c r="E28" s="98"/>
      <c r="F28" s="98"/>
      <c r="G28" s="112"/>
      <c r="H28" s="118"/>
      <c r="I28" s="113"/>
      <c r="J28" s="102"/>
      <c r="K28" s="103"/>
      <c r="L28" s="103"/>
      <c r="M28" s="103"/>
      <c r="N28" s="104"/>
      <c r="O28" s="105" t="str">
        <f>CONCATENATE("(APF ",T27,")")</f>
        <v>(APF 10)</v>
      </c>
      <c r="P28" s="105" t="str">
        <f>CONCATENATE("(APF ",U27,")")</f>
        <v>(APF 10)</v>
      </c>
      <c r="Q28" s="105" t="str">
        <f>CONCATENATE("(APF ",V27,")")</f>
        <v>(APF 10)</v>
      </c>
      <c r="R28" s="105" t="str">
        <f>CONCATENATE("(APF ",W27,")")</f>
        <v>(APF 50)</v>
      </c>
      <c r="T28" s="114" t="s">
        <v>111</v>
      </c>
      <c r="U28" s="115" t="s">
        <v>111</v>
      </c>
      <c r="V28" s="115" t="s">
        <v>111</v>
      </c>
      <c r="W28" s="116" t="s">
        <v>111</v>
      </c>
    </row>
    <row r="29" spans="2:29" ht="15" thickBot="1" x14ac:dyDescent="0.4">
      <c r="B29" s="82">
        <v>1</v>
      </c>
      <c r="C29" s="83" t="s">
        <v>68</v>
      </c>
      <c r="D29" s="83" t="s">
        <v>58</v>
      </c>
      <c r="E29" s="98"/>
      <c r="F29" s="98"/>
      <c r="G29" s="85" t="s">
        <v>117</v>
      </c>
      <c r="H29" s="86" t="s">
        <v>68</v>
      </c>
      <c r="I29" s="86" t="s">
        <v>58</v>
      </c>
      <c r="J29" s="87" t="s">
        <v>71</v>
      </c>
      <c r="K29" s="88" t="s">
        <v>86</v>
      </c>
      <c r="L29" s="88" t="s">
        <v>86</v>
      </c>
      <c r="M29" s="88">
        <f>IFERROR(VLOOKUP($D29,$Y$9:$AB$10,3,FALSE)/IF($D29="Inhalation",IF($J29="Central Tendency",SUMIFS('Inhalation Exposure_8-hr'!$L$6:$L$411,'Inhalation Exposure_8-hr'!$B$6:$B$411,$B29,'Inhalation Exposure_8-hr'!$D$6:$D$411,$C29),SUMIFS('Inhalation Exposure_8-hr'!$M$6:$M$411,'Inhalation Exposure_8-hr'!$B$6:$B$411,$B29,'Inhalation Exposure_8-hr'!$D$6:$D$411,$C29)),IF($J29="Central Tendency",VLOOKUP($B29,'Dermal Exposure'!$A$6:$L$19,5,FALSE),VLOOKUP($B29,'Dermal Exposure'!$A$6:$L$19,10,FALSE))),"--")</f>
        <v>318.26773413959091</v>
      </c>
      <c r="N29" s="89">
        <f>IFERROR(VLOOKUP($D29,$Y$9:$AB$10,4,FALSE)/IF($D29="Inhalation",IF($J29="Central Tendency",SUMIFS('Inhalation Exposure_8-hr'!$N$6:$N$411,'Inhalation Exposure_8-hr'!$B$6:$B$411,$B29,'Inhalation Exposure_8-hr'!$D$6:$D$411,$C29),SUMIFS('Inhalation Exposure_8-hr'!$O$6:$O$411,'Inhalation Exposure_8-hr'!$B$6:$B$411,$B29,'Inhalation Exposure_8-hr'!$D$6:$D$411,$C29)),IF($J29="Central Tendency",VLOOKUP($B29,'Dermal Exposure'!$A$6:$L$19,6,FALSE),VLOOKUP($B29,'Dermal Exposure'!$A$6:$L$19,11,FALSE))),"--")</f>
        <v>340.75865401878872</v>
      </c>
      <c r="O29" s="90" t="str">
        <f>IFERROR(K29*T29, "--")</f>
        <v>--</v>
      </c>
      <c r="P29" s="91" t="str">
        <f>IFERROR(L29*U29, "--")</f>
        <v>--</v>
      </c>
      <c r="Q29" s="91">
        <f>IFERROR(M29*V29, "--")</f>
        <v>1591.3386706979545</v>
      </c>
      <c r="R29" s="91">
        <f>IFERROR(N29*W29, "--")</f>
        <v>1703.7932700939436</v>
      </c>
      <c r="T29" s="92">
        <v>5</v>
      </c>
      <c r="U29" s="93">
        <v>5</v>
      </c>
      <c r="V29" s="93">
        <v>5</v>
      </c>
      <c r="W29" s="94">
        <v>5</v>
      </c>
      <c r="AC29" s="119"/>
    </row>
    <row r="30" spans="2:29" ht="15" thickBot="1" x14ac:dyDescent="0.4">
      <c r="B30" s="82">
        <v>1</v>
      </c>
      <c r="C30" s="83" t="s">
        <v>68</v>
      </c>
      <c r="D30" s="83" t="s">
        <v>58</v>
      </c>
      <c r="E30" s="98"/>
      <c r="F30" s="98"/>
      <c r="G30" s="99"/>
      <c r="H30" s="100"/>
      <c r="I30" s="101"/>
      <c r="J30" s="120"/>
      <c r="K30" s="103"/>
      <c r="L30" s="103"/>
      <c r="M30" s="103"/>
      <c r="N30" s="104"/>
      <c r="O30" s="105" t="str">
        <f>CONCATENATE("(PF ",T29,")")</f>
        <v>(PF 5)</v>
      </c>
      <c r="P30" s="105" t="str">
        <f>CONCATENATE("(PF ",U29,")")</f>
        <v>(PF 5)</v>
      </c>
      <c r="Q30" s="105" t="str">
        <f>CONCATENATE("(PF ",V29,")")</f>
        <v>(PF 5)</v>
      </c>
      <c r="R30" s="105" t="str">
        <f>CONCATENATE("(PF ",W29,")")</f>
        <v>(PF 5)</v>
      </c>
      <c r="T30" s="106" t="s">
        <v>118</v>
      </c>
      <c r="U30" s="107" t="s">
        <v>118</v>
      </c>
      <c r="V30" s="107" t="s">
        <v>118</v>
      </c>
      <c r="W30" s="108" t="s">
        <v>118</v>
      </c>
      <c r="AC30" s="119"/>
    </row>
    <row r="31" spans="2:29" ht="15" thickBot="1" x14ac:dyDescent="0.4">
      <c r="B31" s="82">
        <v>1</v>
      </c>
      <c r="C31" s="83" t="s">
        <v>68</v>
      </c>
      <c r="D31" s="83" t="s">
        <v>58</v>
      </c>
      <c r="E31" s="98"/>
      <c r="F31" s="98"/>
      <c r="G31" s="99"/>
      <c r="H31" s="100"/>
      <c r="I31" s="101"/>
      <c r="J31" s="87" t="s">
        <v>112</v>
      </c>
      <c r="K31" s="88" t="s">
        <v>86</v>
      </c>
      <c r="L31" s="88" t="s">
        <v>86</v>
      </c>
      <c r="M31" s="88">
        <f>IFERROR(VLOOKUP($D31,$Y$9:$AB$10,3,FALSE)/IF($D31="Inhalation",IF($J31="Central Tendency",SUMIFS('Inhalation Exposure_8-hr'!$L$6:$L$411,'Inhalation Exposure_8-hr'!$B$6:$B$411,$B31,'Inhalation Exposure_8-hr'!$D$6:$D$411,$C31),SUMIFS('Inhalation Exposure_8-hr'!$M$6:$M$411,'Inhalation Exposure_8-hr'!$B$6:$B$411,$B31,'Inhalation Exposure_8-hr'!$D$6:$D$411,$C31)),IF($J31="Central Tendency",VLOOKUP($B31,'Dermal Exposure'!$A$6:$L$19,5,FALSE),VLOOKUP($B31,'Dermal Exposure'!$A$6:$L$19,10,FALSE))),"--")</f>
        <v>113.66940357620349</v>
      </c>
      <c r="N31" s="89">
        <f>IFERROR(VLOOKUP($D31,$Y$9:$AB$10,4,FALSE)/IF($D31="Inhalation",IF($J31="Central Tendency",SUMIFS('Inhalation Exposure_8-hr'!$N$6:$N$411,'Inhalation Exposure_8-hr'!$B$6:$B$411,$B31,'Inhalation Exposure_8-hr'!$D$6:$D$411,$C31),SUMIFS('Inhalation Exposure_8-hr'!$O$6:$O$411,'Inhalation Exposure_8-hr'!$B$6:$B$411,$B31,'Inhalation Exposure_8-hr'!$D$6:$D$411,$C31)),IF($J31="Central Tendency",VLOOKUP($B31,'Dermal Exposure'!$A$6:$L$19,6,FALSE),VLOOKUP($B31,'Dermal Exposure'!$A$6:$L$19,11,FALSE))),"--")</f>
        <v>121.70204142892186</v>
      </c>
      <c r="O31" s="90" t="str">
        <f>IFERROR(K31*T31, "--")</f>
        <v>--</v>
      </c>
      <c r="P31" s="91" t="str">
        <f>IFERROR(L31*U31, "--")</f>
        <v>--</v>
      </c>
      <c r="Q31" s="91">
        <f>IFERROR(M31*V31, "--")</f>
        <v>568.34701788101745</v>
      </c>
      <c r="R31" s="91">
        <f>IFERROR(N31*W31, "--")</f>
        <v>608.51020714460924</v>
      </c>
      <c r="T31" s="109">
        <v>5</v>
      </c>
      <c r="U31" s="110">
        <v>5</v>
      </c>
      <c r="V31" s="110">
        <v>5</v>
      </c>
      <c r="W31" s="111">
        <v>5</v>
      </c>
      <c r="AC31" s="119"/>
    </row>
    <row r="32" spans="2:29" ht="15" thickBot="1" x14ac:dyDescent="0.4">
      <c r="B32" s="82">
        <v>1</v>
      </c>
      <c r="C32" s="83" t="s">
        <v>68</v>
      </c>
      <c r="D32" s="83" t="s">
        <v>58</v>
      </c>
      <c r="E32" s="98"/>
      <c r="F32" s="98"/>
      <c r="G32" s="112"/>
      <c r="H32" s="118"/>
      <c r="I32" s="113"/>
      <c r="J32" s="102"/>
      <c r="K32" s="103"/>
      <c r="L32" s="103"/>
      <c r="M32" s="103"/>
      <c r="N32" s="104"/>
      <c r="O32" s="105" t="str">
        <f>CONCATENATE("(PF ",T31,")")</f>
        <v>(PF 5)</v>
      </c>
      <c r="P32" s="105" t="str">
        <f>CONCATENATE("(PF ",U31,")")</f>
        <v>(PF 5)</v>
      </c>
      <c r="Q32" s="105" t="str">
        <f>CONCATENATE("(PF ",V31,")")</f>
        <v>(PF 5)</v>
      </c>
      <c r="R32" s="105" t="str">
        <f>CONCATENATE("(PF ",W31,")")</f>
        <v>(PF 5)</v>
      </c>
      <c r="T32" s="114" t="s">
        <v>118</v>
      </c>
      <c r="U32" s="115" t="s">
        <v>118</v>
      </c>
      <c r="V32" s="115" t="s">
        <v>118</v>
      </c>
      <c r="W32" s="116" t="s">
        <v>118</v>
      </c>
    </row>
    <row r="33" spans="2:23" ht="15.65" customHeight="1" thickBot="1" x14ac:dyDescent="0.4">
      <c r="B33" s="82" t="s">
        <v>119</v>
      </c>
      <c r="C33" s="83" t="s">
        <v>68</v>
      </c>
      <c r="D33" s="83" t="s">
        <v>107</v>
      </c>
      <c r="E33" s="121"/>
      <c r="F33" s="84" t="s">
        <v>120</v>
      </c>
      <c r="G33" s="85" t="s">
        <v>121</v>
      </c>
      <c r="H33" s="86" t="s">
        <v>68</v>
      </c>
      <c r="I33" s="86" t="s">
        <v>110</v>
      </c>
      <c r="J33" s="87" t="s">
        <v>71</v>
      </c>
      <c r="K33" s="88" t="str">
        <f>IFERROR(VLOOKUP($D33,$Y$9:$AB$10,2,FALSE)/IF($D33="Inhalation",IF($J33="Central Tendency",SUMIFS('Inhalation Exposure_Short-Term'!$F$7:$F$397,'Inhalation Exposure_Short-Term'!$B$7:$B$397,$B33,'Inhalation Exposure_Short-Term'!$D$7:$D$397,$C33),SUMIFS('Inhalation Exposure_Short-Term'!$G$7:$G$397,'Inhalation Exposure_Short-Term'!$B$7:$B$397,$B33,'Inhalation Exposure_Short-Term'!$D$7:$D$397,$C33)),IF($J33="Central Tendency",VLOOKUP($B33,'Dermal Exposure'!$A$6:$L$19,9,FALSE),VLOOKUP($B33,'Dermal Exposure'!$A$6:$L$19,4,FALSE))),"--")</f>
        <v>--</v>
      </c>
      <c r="L33" s="88">
        <f>IFERROR(VLOOKUP($D33,$Y$9:$AB$10,2,FALSE)/IF($D33="Inhalation",IF($J33="Central Tendency",SUMIFS('Inhalation Exposure_8-hr'!$H$6:$H$411,'Inhalation Exposure_8-hr'!$B$6:$B$411,$B33,'Inhalation Exposure_8-hr'!$D$6:$D$411,$C33),SUMIFS('Inhalation Exposure_8-hr'!$I$6:$I$411,'Inhalation Exposure_8-hr'!$B$6:$B$411,$B33,'Inhalation Exposure_8-hr'!$D$6:$D$411,$C33)),IF($J33="Central Tendency",VLOOKUP($B33,'Dermal Exposure'!$A$6:$L$19,9,FALSE),VLOOKUP($B33,'Dermal Exposure'!$A$6:$L$19,4,FALSE))),"--")</f>
        <v>18441.051980786608</v>
      </c>
      <c r="M33" s="88">
        <f>IFERROR(VLOOKUP($D33,$Y$9:$AB$10,3,FALSE)/IF($D33="Inhalation",IF($J33="Central Tendency",SUMIFS('Inhalation Exposure_8-hr'!$L$6:$L$411,'Inhalation Exposure_8-hr'!$B$6:$B$411,$B33,'Inhalation Exposure_8-hr'!$D$6:$D$411,$C33),SUMIFS('Inhalation Exposure_8-hr'!$M$6:$M$411,'Inhalation Exposure_8-hr'!$B$6:$B$411,$B33,'Inhalation Exposure_8-hr'!$D$6:$D$411,$C33)),IF($J33="Central Tendency",VLOOKUP($B33,'Dermal Exposure'!$A$6:$L$19,10,FALSE),VLOOKUP($B33,'Dermal Exposure'!$A$6:$L$19,5,FALSE))),"--")</f>
        <v>545.24742214555317</v>
      </c>
      <c r="N33" s="89">
        <f>IFERROR(VLOOKUP($D33,$Y$9:$AB$10,4,FALSE)/IF($D33="Inhalation",IF($J33="Central Tendency",SUMIFS('Inhalation Exposure_8-hr'!$N$6:$N$411,'Inhalation Exposure_8-hr'!$B$6:$B$411,$B33,'Inhalation Exposure_8-hr'!$D$6:$D$411,$C33),SUMIFS('Inhalation Exposure_8-hr'!$O$6:$O$411,'Inhalation Exposure_8-hr'!$B$6:$B$411,$B33,'Inhalation Exposure_8-hr'!$D$6:$D$411,$C33)),IF($J33="Central Tendency",VLOOKUP($B33,'Dermal Exposure'!$A$6:$L$19,11,FALSE),VLOOKUP($B33,'Dermal Exposure'!$A$6:$L$19,6,FALSE))),"--")</f>
        <v>583.77823997717235</v>
      </c>
      <c r="O33" s="90" t="str">
        <f>IFERROR(K33*T33, "--")</f>
        <v>--</v>
      </c>
      <c r="P33" s="91">
        <f>IFERROR(L33*U33, "--")</f>
        <v>184410.51980786608</v>
      </c>
      <c r="Q33" s="91">
        <f>IFERROR(M33*V33, "--")</f>
        <v>5452.4742214555317</v>
      </c>
      <c r="R33" s="91">
        <f>IFERROR(N33*W33, "--")</f>
        <v>5837.7823997717232</v>
      </c>
      <c r="T33" s="92">
        <v>10</v>
      </c>
      <c r="U33" s="93">
        <v>10</v>
      </c>
      <c r="V33" s="93">
        <v>10</v>
      </c>
      <c r="W33" s="94">
        <v>10</v>
      </c>
    </row>
    <row r="34" spans="2:23" ht="15.65" customHeight="1" thickBot="1" x14ac:dyDescent="0.4">
      <c r="B34" s="82" t="s">
        <v>119</v>
      </c>
      <c r="C34" s="83" t="s">
        <v>68</v>
      </c>
      <c r="D34" s="83" t="s">
        <v>107</v>
      </c>
      <c r="E34" s="121"/>
      <c r="F34" s="98"/>
      <c r="G34" s="99"/>
      <c r="H34" s="100"/>
      <c r="I34" s="101"/>
      <c r="J34" s="102"/>
      <c r="K34" s="103"/>
      <c r="L34" s="103"/>
      <c r="M34" s="103"/>
      <c r="N34" s="104"/>
      <c r="O34" s="105" t="str">
        <f>CONCATENATE("(APF ",T33,")")</f>
        <v>(APF 10)</v>
      </c>
      <c r="P34" s="105" t="str">
        <f>CONCATENATE("(APF ",U33,")")</f>
        <v>(APF 10)</v>
      </c>
      <c r="Q34" s="105" t="str">
        <f>CONCATENATE("(APF ",V33,")")</f>
        <v>(APF 10)</v>
      </c>
      <c r="R34" s="105" t="str">
        <f>CONCATENATE("(APF ",W33,")")</f>
        <v>(APF 10)</v>
      </c>
      <c r="T34" s="106" t="s">
        <v>111</v>
      </c>
      <c r="U34" s="107" t="s">
        <v>111</v>
      </c>
      <c r="V34" s="107" t="s">
        <v>111</v>
      </c>
      <c r="W34" s="108" t="s">
        <v>111</v>
      </c>
    </row>
    <row r="35" spans="2:23" ht="15.65" customHeight="1" thickBot="1" x14ac:dyDescent="0.4">
      <c r="B35" s="82" t="s">
        <v>119</v>
      </c>
      <c r="C35" s="83" t="s">
        <v>68</v>
      </c>
      <c r="D35" s="83" t="s">
        <v>107</v>
      </c>
      <c r="E35" s="121"/>
      <c r="F35" s="98"/>
      <c r="G35" s="99"/>
      <c r="H35" s="100"/>
      <c r="I35" s="101"/>
      <c r="J35" s="87" t="s">
        <v>112</v>
      </c>
      <c r="K35" s="88" t="str">
        <f>IFERROR(VLOOKUP($D35,$Y$9:$AB$10,2,FALSE)/IF($D35="Inhalation",IF($J35="Central Tendency",SUMIFS('Inhalation Exposure_Short-Term'!$F$7:$F$397,'Inhalation Exposure_Short-Term'!$B$7:$B$397,$B35,'Inhalation Exposure_Short-Term'!$D$7:$D$397,$C35),SUMIFS('Inhalation Exposure_Short-Term'!$G$7:$G$397,'Inhalation Exposure_Short-Term'!$B$7:$B$397,$B35,'Inhalation Exposure_Short-Term'!$D$7:$D$397,$C35)),IF($J35="Central Tendency",VLOOKUP($B35,'Dermal Exposure'!$A$6:$L$19,9,FALSE),VLOOKUP($B35,'Dermal Exposure'!$A$6:$L$19,4,FALSE))),"--")</f>
        <v>--</v>
      </c>
      <c r="L35" s="88">
        <f>IFERROR(VLOOKUP($D35,$Y$9:$AB$10,2,FALSE)/IF($D35="Inhalation",IF($J35="Central Tendency",SUMIFS('Inhalation Exposure_8-hr'!$H$6:$H$411,'Inhalation Exposure_8-hr'!$B$6:$B$411,$B35,'Inhalation Exposure_8-hr'!$D$6:$D$411,$C35),SUMIFS('Inhalation Exposure_8-hr'!$I$6:$I$411,'Inhalation Exposure_8-hr'!$B$6:$B$411,$B35,'Inhalation Exposure_8-hr'!$D$6:$D$411,$C35)),IF($J35="Central Tendency",VLOOKUP($B35,'Dermal Exposure'!$A$6:$L$19,9,FALSE),VLOOKUP($B35,'Dermal Exposure'!$A$6:$L$19,4,FALSE))),"--")</f>
        <v>3480.9711816234599</v>
      </c>
      <c r="M35" s="88">
        <f>IFERROR(VLOOKUP($D35,$Y$9:$AB$10,3,FALSE)/IF($D35="Inhalation",IF($J35="Central Tendency",SUMIFS('Inhalation Exposure_8-hr'!$L$6:$L$411,'Inhalation Exposure_8-hr'!$B$6:$B$411,$B35,'Inhalation Exposure_8-hr'!$D$6:$D$411,$C35),SUMIFS('Inhalation Exposure_8-hr'!$M$6:$M$411,'Inhalation Exposure_8-hr'!$B$6:$B$411,$B35,'Inhalation Exposure_8-hr'!$D$6:$D$411,$C35)),IF($J35="Central Tendency",VLOOKUP($B35,'Dermal Exposure'!$A$6:$L$19,10,FALSE),VLOOKUP($B35,'Dermal Exposure'!$A$6:$L$19,5,FALSE))),"--")</f>
        <v>102.92203315302363</v>
      </c>
      <c r="N35" s="89">
        <f>IFERROR(VLOOKUP($D35,$Y$9:$AB$10,4,FALSE)/IF($D35="Inhalation",IF($J35="Central Tendency",SUMIFS('Inhalation Exposure_8-hr'!$N$6:$N$411,'Inhalation Exposure_8-hr'!$B$6:$B$411,$B35,'Inhalation Exposure_8-hr'!$D$6:$D$411,$C35),SUMIFS('Inhalation Exposure_8-hr'!$O$6:$O$411,'Inhalation Exposure_8-hr'!$B$6:$B$411,$B35,'Inhalation Exposure_8-hr'!$D$6:$D$411,$C35)),IF($J35="Central Tendency",VLOOKUP($B35,'Dermal Exposure'!$A$6:$L$19,11,FALSE),VLOOKUP($B35,'Dermal Exposure'!$A$6:$L$19,6,FALSE))),"--")</f>
        <v>110.19519016250399</v>
      </c>
      <c r="O35" s="90" t="str">
        <f>IFERROR(K35*T35, "--")</f>
        <v>--</v>
      </c>
      <c r="P35" s="91">
        <f>IFERROR(L35*U35, "--")</f>
        <v>34809.711816234601</v>
      </c>
      <c r="Q35" s="91">
        <f>IFERROR(M35*V35, "--")</f>
        <v>1029.2203315302363</v>
      </c>
      <c r="R35" s="91">
        <f>IFERROR(N35*W35, "--")</f>
        <v>1101.9519016250399</v>
      </c>
      <c r="T35" s="109">
        <v>10</v>
      </c>
      <c r="U35" s="110">
        <v>10</v>
      </c>
      <c r="V35" s="110">
        <v>10</v>
      </c>
      <c r="W35" s="111">
        <v>10</v>
      </c>
    </row>
    <row r="36" spans="2:23" ht="15.65" customHeight="1" thickBot="1" x14ac:dyDescent="0.4">
      <c r="B36" s="82" t="s">
        <v>119</v>
      </c>
      <c r="C36" s="83" t="s">
        <v>68</v>
      </c>
      <c r="D36" s="83" t="s">
        <v>107</v>
      </c>
      <c r="E36" s="121"/>
      <c r="F36" s="98"/>
      <c r="G36" s="112"/>
      <c r="H36" s="100"/>
      <c r="I36" s="113"/>
      <c r="J36" s="102"/>
      <c r="K36" s="103"/>
      <c r="L36" s="103"/>
      <c r="M36" s="103"/>
      <c r="N36" s="104"/>
      <c r="O36" s="105" t="str">
        <f>CONCATENATE("(APF ",T35,")")</f>
        <v>(APF 10)</v>
      </c>
      <c r="P36" s="105" t="str">
        <f>CONCATENATE("(APF ",U35,")")</f>
        <v>(APF 10)</v>
      </c>
      <c r="Q36" s="105" t="str">
        <f>CONCATENATE("(APF ",V35,")")</f>
        <v>(APF 10)</v>
      </c>
      <c r="R36" s="105" t="str">
        <f>CONCATENATE("(APF ",W35,")")</f>
        <v>(APF 10)</v>
      </c>
      <c r="T36" s="114" t="s">
        <v>111</v>
      </c>
      <c r="U36" s="115" t="s">
        <v>111</v>
      </c>
      <c r="V36" s="115" t="s">
        <v>111</v>
      </c>
      <c r="W36" s="116" t="s">
        <v>111</v>
      </c>
    </row>
    <row r="37" spans="2:23" ht="16.5" customHeight="1" thickBot="1" x14ac:dyDescent="0.4">
      <c r="B37" s="82" t="s">
        <v>122</v>
      </c>
      <c r="C37" s="83" t="s">
        <v>68</v>
      </c>
      <c r="D37" s="83" t="s">
        <v>107</v>
      </c>
      <c r="E37" s="121"/>
      <c r="F37" s="98"/>
      <c r="G37" s="85" t="s">
        <v>61</v>
      </c>
      <c r="H37" s="100"/>
      <c r="I37" s="86" t="s">
        <v>110</v>
      </c>
      <c r="J37" s="87" t="s">
        <v>71</v>
      </c>
      <c r="K37" s="88" t="str">
        <f>IFERROR(VLOOKUP($D37,$Y$9:$AB$10,2,FALSE)/IF($D37="Inhalation",IF($J37="Central Tendency",SUMIFS('Inhalation Exposure_Short-Term'!$F$7:$F$397,'Inhalation Exposure_Short-Term'!$B$7:$B$397,$B37,'Inhalation Exposure_Short-Term'!$D$7:$D$397,$C37),SUMIFS('Inhalation Exposure_Short-Term'!$G$7:$G$397,'Inhalation Exposure_Short-Term'!$B$7:$B$397,$B37,'Inhalation Exposure_Short-Term'!$D$7:$D$397,$C37)),IF($J37="Central Tendency",VLOOKUP($B37,'Dermal Exposure'!$A$6:$L$19,9,FALSE),VLOOKUP($B37,'Dermal Exposure'!$A$6:$L$19,4,FALSE))),"--")</f>
        <v>--</v>
      </c>
      <c r="L37" s="88">
        <f>IFERROR(VLOOKUP($D37,$Y$9:$AB$10,2,FALSE)/IF($D37="Inhalation",IF($J37="Central Tendency",SUMIFS('Inhalation Exposure_8-hr'!$H$6:$H$411,'Inhalation Exposure_8-hr'!$B$6:$B$411,$B37,'Inhalation Exposure_8-hr'!$D$6:$D$411,$C37),SUMIFS('Inhalation Exposure_8-hr'!$I$6:$I$411,'Inhalation Exposure_8-hr'!$B$6:$B$411,$B37,'Inhalation Exposure_8-hr'!$D$6:$D$411,$C37)),IF($J37="Central Tendency",VLOOKUP($B37,'Dermal Exposure'!$A$6:$L$19,9,FALSE),VLOOKUP($B37,'Dermal Exposure'!$A$6:$L$19,4,FALSE))),"--")</f>
        <v>159643.56737832309</v>
      </c>
      <c r="M37" s="88">
        <f>IFERROR(VLOOKUP($D37,$Y$9:$AB$10,3,FALSE)/IF($D37="Inhalation",IF($J37="Central Tendency",SUMIFS('Inhalation Exposure_8-hr'!$L$6:$L$411,'Inhalation Exposure_8-hr'!$B$6:$B$411,$B37,'Inhalation Exposure_8-hr'!$D$6:$D$411,$C37),SUMIFS('Inhalation Exposure_8-hr'!$M$6:$M$411,'Inhalation Exposure_8-hr'!$B$6:$B$411,$B37,'Inhalation Exposure_8-hr'!$D$6:$D$411,$C37)),IF($J37="Central Tendency",VLOOKUP($B37,'Dermal Exposure'!$A$6:$L$19,10,FALSE),VLOOKUP($B37,'Dermal Exposure'!$A$6:$L$19,5,FALSE))),"--")</f>
        <v>4720.1886132006694</v>
      </c>
      <c r="N37" s="89">
        <f>IFERROR(VLOOKUP($D37,$Y$9:$AB$10,4,FALSE)/IF($D37="Inhalation",IF($J37="Central Tendency",SUMIFS('Inhalation Exposure_8-hr'!$N$6:$N$411,'Inhalation Exposure_8-hr'!$B$6:$B$411,$B37,'Inhalation Exposure_8-hr'!$D$6:$D$411,$C37),SUMIFS('Inhalation Exposure_8-hr'!$O$6:$O$411,'Inhalation Exposure_8-hr'!$B$6:$B$411,$B37,'Inhalation Exposure_8-hr'!$D$6:$D$411,$C37)),IF($J37="Central Tendency",VLOOKUP($B37,'Dermal Exposure'!$A$6:$L$19,11,FALSE),VLOOKUP($B37,'Dermal Exposure'!$A$6:$L$19,6,FALSE))),"--")</f>
        <v>5053.7486085335167</v>
      </c>
      <c r="O37" s="90" t="str">
        <f>IFERROR(K37*T37, "--")</f>
        <v>--</v>
      </c>
      <c r="P37" s="91">
        <f>IFERROR(L37*U37, "--")</f>
        <v>1596435.6737832308</v>
      </c>
      <c r="Q37" s="91">
        <f>IFERROR(M37*V37, "--")</f>
        <v>47201.886132006694</v>
      </c>
      <c r="R37" s="91">
        <f>IFERROR(N37*W37, "--")</f>
        <v>50537.486085335171</v>
      </c>
      <c r="T37" s="92">
        <v>10</v>
      </c>
      <c r="U37" s="93">
        <v>10</v>
      </c>
      <c r="V37" s="93">
        <v>10</v>
      </c>
      <c r="W37" s="94">
        <v>10</v>
      </c>
    </row>
    <row r="38" spans="2:23" ht="15.65" customHeight="1" thickBot="1" x14ac:dyDescent="0.4">
      <c r="B38" s="82" t="s">
        <v>122</v>
      </c>
      <c r="C38" s="83" t="s">
        <v>68</v>
      </c>
      <c r="D38" s="83" t="s">
        <v>107</v>
      </c>
      <c r="E38" s="121"/>
      <c r="F38" s="98"/>
      <c r="G38" s="99"/>
      <c r="H38" s="100"/>
      <c r="I38" s="101"/>
      <c r="J38" s="102"/>
      <c r="K38" s="103"/>
      <c r="L38" s="103"/>
      <c r="M38" s="103"/>
      <c r="N38" s="104"/>
      <c r="O38" s="105" t="str">
        <f>CONCATENATE("(APF ",T37,")")</f>
        <v>(APF 10)</v>
      </c>
      <c r="P38" s="105" t="str">
        <f>CONCATENATE("(APF ",U37,")")</f>
        <v>(APF 10)</v>
      </c>
      <c r="Q38" s="105" t="str">
        <f>CONCATENATE("(APF ",V37,")")</f>
        <v>(APF 10)</v>
      </c>
      <c r="R38" s="105" t="str">
        <f>CONCATENATE("(APF ",W37,")")</f>
        <v>(APF 10)</v>
      </c>
      <c r="T38" s="106" t="s">
        <v>111</v>
      </c>
      <c r="U38" s="107" t="s">
        <v>111</v>
      </c>
      <c r="V38" s="107" t="s">
        <v>111</v>
      </c>
      <c r="W38" s="108" t="s">
        <v>111</v>
      </c>
    </row>
    <row r="39" spans="2:23" ht="15.65" customHeight="1" thickBot="1" x14ac:dyDescent="0.4">
      <c r="B39" s="82" t="s">
        <v>122</v>
      </c>
      <c r="C39" s="83" t="s">
        <v>68</v>
      </c>
      <c r="D39" s="83" t="s">
        <v>107</v>
      </c>
      <c r="E39" s="121"/>
      <c r="F39" s="98"/>
      <c r="G39" s="99"/>
      <c r="H39" s="100"/>
      <c r="I39" s="101"/>
      <c r="J39" s="87" t="s">
        <v>112</v>
      </c>
      <c r="K39" s="88" t="str">
        <f>IFERROR(VLOOKUP($D39,$Y$9:$AB$10,2,FALSE)/IF($D39="Inhalation",IF($J39="Central Tendency",SUMIFS('Inhalation Exposure_Short-Term'!$F$7:$F$397,'Inhalation Exposure_Short-Term'!$B$7:$B$397,$B39,'Inhalation Exposure_Short-Term'!$D$7:$D$397,$C39),SUMIFS('Inhalation Exposure_Short-Term'!$G$7:$G$397,'Inhalation Exposure_Short-Term'!$B$7:$B$397,$B39,'Inhalation Exposure_Short-Term'!$D$7:$D$397,$C39)),IF($J39="Central Tendency",VLOOKUP($B39,'Dermal Exposure'!$A$6:$L$19,9,FALSE),VLOOKUP($B39,'Dermal Exposure'!$A$6:$L$19,4,FALSE))),"--")</f>
        <v>--</v>
      </c>
      <c r="L39" s="88">
        <f>IFERROR(VLOOKUP($D39,$Y$9:$AB$10,2,FALSE)/IF($D39="Inhalation",IF($J39="Central Tendency",SUMIFS('Inhalation Exposure_8-hr'!$H$6:$H$411,'Inhalation Exposure_8-hr'!$B$6:$B$411,$B39,'Inhalation Exposure_8-hr'!$D$6:$D$411,$C39),SUMIFS('Inhalation Exposure_8-hr'!$I$6:$I$411,'Inhalation Exposure_8-hr'!$B$6:$B$411,$B39,'Inhalation Exposure_8-hr'!$D$6:$D$411,$C39)),IF($J39="Central Tendency",VLOOKUP($B39,'Dermal Exposure'!$A$6:$L$19,9,FALSE),VLOOKUP($B39,'Dermal Exposure'!$A$6:$L$19,4,FALSE))),"--")</f>
        <v>2525.3669909994419</v>
      </c>
      <c r="M39" s="88">
        <f>IFERROR(VLOOKUP($D39,$Y$9:$AB$10,3,FALSE)/IF($D39="Inhalation",IF($J39="Central Tendency",SUMIFS('Inhalation Exposure_8-hr'!$L$6:$L$411,'Inhalation Exposure_8-hr'!$B$6:$B$411,$B39,'Inhalation Exposure_8-hr'!$D$6:$D$411,$C39),SUMIFS('Inhalation Exposure_8-hr'!$M$6:$M$411,'Inhalation Exposure_8-hr'!$B$6:$B$411,$B39,'Inhalation Exposure_8-hr'!$D$6:$D$411,$C39)),IF($J39="Central Tendency",VLOOKUP($B39,'Dermal Exposure'!$A$6:$L$19,10,FALSE),VLOOKUP($B39,'Dermal Exposure'!$A$6:$L$19,5,FALSE))),"--")</f>
        <v>74.66764061228919</v>
      </c>
      <c r="N39" s="89">
        <f>IFERROR(VLOOKUP($D39,$Y$9:$AB$10,4,FALSE)/IF($D39="Inhalation",IF($J39="Central Tendency",SUMIFS('Inhalation Exposure_8-hr'!$N$6:$N$411,'Inhalation Exposure_8-hr'!$B$6:$B$411,$B39,'Inhalation Exposure_8-hr'!$D$6:$D$411,$C39),SUMIFS('Inhalation Exposure_8-hr'!$O$6:$O$411,'Inhalation Exposure_8-hr'!$B$6:$B$411,$B39,'Inhalation Exposure_8-hr'!$D$6:$D$411,$C39)),IF($J39="Central Tendency",VLOOKUP($B39,'Dermal Exposure'!$A$6:$L$19,11,FALSE),VLOOKUP($B39,'Dermal Exposure'!$A$6:$L$19,6,FALSE))),"--")</f>
        <v>79.944153882224285</v>
      </c>
      <c r="O39" s="90" t="str">
        <f>IFERROR(K39*T39, "--")</f>
        <v>--</v>
      </c>
      <c r="P39" s="91">
        <f>IFERROR(L39*U39, "--")</f>
        <v>25253.66990999442</v>
      </c>
      <c r="Q39" s="91">
        <f>IFERROR(M39*V39, "--")</f>
        <v>746.67640612289188</v>
      </c>
      <c r="R39" s="91">
        <f>IFERROR(N39*W39, "--")</f>
        <v>799.44153882224282</v>
      </c>
      <c r="T39" s="109">
        <v>10</v>
      </c>
      <c r="U39" s="110">
        <v>10</v>
      </c>
      <c r="V39" s="110">
        <v>10</v>
      </c>
      <c r="W39" s="111">
        <v>10</v>
      </c>
    </row>
    <row r="40" spans="2:23" ht="15.65" customHeight="1" thickBot="1" x14ac:dyDescent="0.4">
      <c r="B40" s="82" t="s">
        <v>122</v>
      </c>
      <c r="C40" s="83" t="s">
        <v>68</v>
      </c>
      <c r="D40" s="83" t="s">
        <v>107</v>
      </c>
      <c r="E40" s="121"/>
      <c r="F40" s="98"/>
      <c r="G40" s="112"/>
      <c r="H40" s="100"/>
      <c r="I40" s="113"/>
      <c r="J40" s="102"/>
      <c r="K40" s="103"/>
      <c r="L40" s="103"/>
      <c r="M40" s="103"/>
      <c r="N40" s="104"/>
      <c r="O40" s="105" t="str">
        <f>CONCATENATE("(APF ",T39,")")</f>
        <v>(APF 10)</v>
      </c>
      <c r="P40" s="105" t="str">
        <f>CONCATENATE("(APF ",U39,")")</f>
        <v>(APF 10)</v>
      </c>
      <c r="Q40" s="105" t="str">
        <f>CONCATENATE("(APF ",V39,")")</f>
        <v>(APF 10)</v>
      </c>
      <c r="R40" s="105" t="str">
        <f>CONCATENATE("(APF ",W39,")")</f>
        <v>(APF 10)</v>
      </c>
      <c r="T40" s="114" t="s">
        <v>111</v>
      </c>
      <c r="U40" s="115" t="s">
        <v>111</v>
      </c>
      <c r="V40" s="115" t="s">
        <v>111</v>
      </c>
      <c r="W40" s="116" t="s">
        <v>111</v>
      </c>
    </row>
    <row r="41" spans="2:23" ht="16.5" customHeight="1" thickBot="1" x14ac:dyDescent="0.4">
      <c r="B41" s="82" t="s">
        <v>123</v>
      </c>
      <c r="C41" s="83" t="s">
        <v>68</v>
      </c>
      <c r="D41" s="83" t="s">
        <v>107</v>
      </c>
      <c r="E41" s="121"/>
      <c r="F41" s="98"/>
      <c r="G41" s="85" t="s">
        <v>126</v>
      </c>
      <c r="H41" s="100"/>
      <c r="I41" s="86" t="s">
        <v>110</v>
      </c>
      <c r="J41" s="87" t="s">
        <v>71</v>
      </c>
      <c r="K41" s="88" t="str">
        <f>IFERROR(VLOOKUP($D41,$Y$9:$AB$10,2,FALSE)/IF($D41="Inhalation",IF($J41="Central Tendency",SUMIFS('Inhalation Exposure_Short-Term'!$F$7:$F$397,'Inhalation Exposure_Short-Term'!$B$7:$B$397,$B41,'Inhalation Exposure_Short-Term'!$D$7:$D$397,$C41),SUMIFS('Inhalation Exposure_Short-Term'!$G$7:$G$397,'Inhalation Exposure_Short-Term'!$B$7:$B$397,$B41,'Inhalation Exposure_Short-Term'!$D$7:$D$397,$C41)),IF($J41="Central Tendency",VLOOKUP($B41,'Dermal Exposure'!$A$6:$L$19,9,FALSE),VLOOKUP($B41,'Dermal Exposure'!$A$6:$L$19,4,FALSE))),"--")</f>
        <v>--</v>
      </c>
      <c r="L41" s="88">
        <f>IFERROR(VLOOKUP($D41,$Y$9:$AB$10,2,FALSE)/IF($D41="Inhalation",IF($J41="Central Tendency",SUMIFS('Inhalation Exposure_8-hr'!$H$6:$H$411,'Inhalation Exposure_8-hr'!$B$6:$B$411,$B41,'Inhalation Exposure_8-hr'!$D$6:$D$411,$C41),SUMIFS('Inhalation Exposure_8-hr'!$I$6:$I$411,'Inhalation Exposure_8-hr'!$B$6:$B$411,$B41,'Inhalation Exposure_8-hr'!$D$6:$D$411,$C41)),IF($J41="Central Tendency",VLOOKUP($B41,'Dermal Exposure'!$A$6:$L$19,9,FALSE),VLOOKUP($B41,'Dermal Exposure'!$A$6:$L$19,4,FALSE))),"--")</f>
        <v>159522.53853460378</v>
      </c>
      <c r="M41" s="88">
        <f>IFERROR(VLOOKUP($D41,$Y$9:$AB$10,3,FALSE)/IF($D41="Inhalation",IF($J41="Central Tendency",SUMIFS('Inhalation Exposure_8-hr'!$L$6:$L$411,'Inhalation Exposure_8-hr'!$B$6:$B$411,$B41,'Inhalation Exposure_8-hr'!$D$6:$D$411,$C41),SUMIFS('Inhalation Exposure_8-hr'!$M$6:$M$411,'Inhalation Exposure_8-hr'!$B$6:$B$411,$B41,'Inhalation Exposure_8-hr'!$D$6:$D$411,$C41)),IF($J41="Central Tendency",VLOOKUP($B41,'Dermal Exposure'!$A$6:$L$19,10,FALSE),VLOOKUP($B41,'Dermal Exposure'!$A$6:$L$19,5,FALSE))),"--")</f>
        <v>4716.6101478771079</v>
      </c>
      <c r="N41" s="89">
        <f>IFERROR(VLOOKUP($D41,$Y$9:$AB$10,4,FALSE)/IF($D41="Inhalation",IF($J41="Central Tendency",SUMIFS('Inhalation Exposure_8-hr'!$N$6:$N$411,'Inhalation Exposure_8-hr'!$B$6:$B$411,$B41,'Inhalation Exposure_8-hr'!$D$6:$D$411,$C41),SUMIFS('Inhalation Exposure_8-hr'!$O$6:$O$411,'Inhalation Exposure_8-hr'!$B$6:$B$411,$B41,'Inhalation Exposure_8-hr'!$D$6:$D$411,$C41)),IF($J41="Central Tendency",VLOOKUP($B41,'Dermal Exposure'!$A$6:$L$19,11,FALSE),VLOOKUP($B41,'Dermal Exposure'!$A$6:$L$19,6,FALSE))),"--")</f>
        <v>5049.9172649937564</v>
      </c>
      <c r="O41" s="90" t="str">
        <f>IFERROR(K41*T41, "--")</f>
        <v>--</v>
      </c>
      <c r="P41" s="91">
        <f>IFERROR(L41*U41, "--")</f>
        <v>1595225.3853460378</v>
      </c>
      <c r="Q41" s="91">
        <f>IFERROR(M41*V41, "--")</f>
        <v>47166.101478771081</v>
      </c>
      <c r="R41" s="91">
        <f>IFERROR(N41*W41, "--")</f>
        <v>252495.86324968783</v>
      </c>
      <c r="T41" s="92">
        <v>10</v>
      </c>
      <c r="U41" s="93">
        <v>10</v>
      </c>
      <c r="V41" s="93">
        <v>10</v>
      </c>
      <c r="W41" s="94">
        <v>50</v>
      </c>
    </row>
    <row r="42" spans="2:23" ht="15.65" customHeight="1" thickBot="1" x14ac:dyDescent="0.4">
      <c r="B42" s="82" t="s">
        <v>123</v>
      </c>
      <c r="C42" s="83" t="s">
        <v>68</v>
      </c>
      <c r="D42" s="83" t="s">
        <v>107</v>
      </c>
      <c r="E42" s="121"/>
      <c r="F42" s="98"/>
      <c r="G42" s="99"/>
      <c r="H42" s="100"/>
      <c r="I42" s="101"/>
      <c r="J42" s="102"/>
      <c r="K42" s="103"/>
      <c r="L42" s="103"/>
      <c r="M42" s="103"/>
      <c r="N42" s="104"/>
      <c r="O42" s="105" t="str">
        <f>CONCATENATE("(APF ",T41,")")</f>
        <v>(APF 10)</v>
      </c>
      <c r="P42" s="105" t="str">
        <f>CONCATENATE("(APF ",U41,")")</f>
        <v>(APF 10)</v>
      </c>
      <c r="Q42" s="105" t="str">
        <f>CONCATENATE("(APF ",V41,")")</f>
        <v>(APF 10)</v>
      </c>
      <c r="R42" s="105" t="str">
        <f>CONCATENATE("(APF ",W41,")")</f>
        <v>(APF 50)</v>
      </c>
      <c r="T42" s="106" t="s">
        <v>111</v>
      </c>
      <c r="U42" s="107" t="s">
        <v>111</v>
      </c>
      <c r="V42" s="107" t="s">
        <v>111</v>
      </c>
      <c r="W42" s="108" t="s">
        <v>111</v>
      </c>
    </row>
    <row r="43" spans="2:23" ht="15.65" customHeight="1" thickBot="1" x14ac:dyDescent="0.4">
      <c r="B43" s="82" t="s">
        <v>123</v>
      </c>
      <c r="C43" s="83" t="s">
        <v>68</v>
      </c>
      <c r="D43" s="83" t="s">
        <v>107</v>
      </c>
      <c r="E43" s="121"/>
      <c r="F43" s="98"/>
      <c r="G43" s="99"/>
      <c r="H43" s="100"/>
      <c r="I43" s="101"/>
      <c r="J43" s="87" t="s">
        <v>112</v>
      </c>
      <c r="K43" s="88" t="str">
        <f>IFERROR(VLOOKUP($D43,$Y$9:$AB$10,2,FALSE)/IF($D43="Inhalation",IF($J43="Central Tendency",SUMIFS('Inhalation Exposure_Short-Term'!$F$7:$F$397,'Inhalation Exposure_Short-Term'!$B$7:$B$397,$B43,'Inhalation Exposure_Short-Term'!$D$7:$D$397,$C43),SUMIFS('Inhalation Exposure_Short-Term'!$G$7:$G$397,'Inhalation Exposure_Short-Term'!$B$7:$B$397,$B43,'Inhalation Exposure_Short-Term'!$D$7:$D$397,$C43)),IF($J43="Central Tendency",VLOOKUP($B43,'Dermal Exposure'!$A$6:$L$19,9,FALSE),VLOOKUP($B43,'Dermal Exposure'!$A$6:$L$19,4,FALSE))),"--")</f>
        <v>--</v>
      </c>
      <c r="L43" s="88">
        <f>IFERROR(VLOOKUP($D43,$Y$9:$AB$10,2,FALSE)/IF($D43="Inhalation",IF($J43="Central Tendency",SUMIFS('Inhalation Exposure_8-hr'!$H$6:$H$411,'Inhalation Exposure_8-hr'!$B$6:$B$411,$B43,'Inhalation Exposure_8-hr'!$D$6:$D$411,$C43),SUMIFS('Inhalation Exposure_8-hr'!$I$6:$I$411,'Inhalation Exposure_8-hr'!$B$6:$B$411,$B43,'Inhalation Exposure_8-hr'!$D$6:$D$411,$C43)),IF($J43="Central Tendency",VLOOKUP($B43,'Dermal Exposure'!$A$6:$L$19,9,FALSE),VLOOKUP($B43,'Dermal Exposure'!$A$6:$L$19,4,FALSE))),"--")</f>
        <v>155075.45325153373</v>
      </c>
      <c r="M43" s="88">
        <f>IFERROR(VLOOKUP($D43,$Y$9:$AB$10,3,FALSE)/IF($D43="Inhalation",IF($J43="Central Tendency",SUMIFS('Inhalation Exposure_8-hr'!$L$6:$L$411,'Inhalation Exposure_8-hr'!$B$6:$B$411,$B43,'Inhalation Exposure_8-hr'!$D$6:$D$411,$C43),SUMIFS('Inhalation Exposure_8-hr'!$M$6:$M$411,'Inhalation Exposure_8-hr'!$B$6:$B$411,$B43,'Inhalation Exposure_8-hr'!$D$6:$D$411,$C43)),IF($J43="Central Tendency",VLOOKUP($B43,'Dermal Exposure'!$A$6:$L$19,10,FALSE),VLOOKUP($B43,'Dermal Exposure'!$A$6:$L$19,5,FALSE))),"--")</f>
        <v>4585.1229751723358</v>
      </c>
      <c r="N43" s="89">
        <f>IFERROR(VLOOKUP($D43,$Y$9:$AB$10,4,FALSE)/IF($D43="Inhalation",IF($J43="Central Tendency",SUMIFS('Inhalation Exposure_8-hr'!$N$6:$N$411,'Inhalation Exposure_8-hr'!$B$6:$B$411,$B43,'Inhalation Exposure_8-hr'!$D$6:$D$411,$C43),SUMIFS('Inhalation Exposure_8-hr'!$O$6:$O$411,'Inhalation Exposure_8-hr'!$B$6:$B$411,$B43,'Inhalation Exposure_8-hr'!$D$6:$D$411,$C43)),IF($J43="Central Tendency",VLOOKUP($B43,'Dermal Exposure'!$A$6:$L$19,11,FALSE),VLOOKUP($B43,'Dermal Exposure'!$A$6:$L$19,6,FALSE))),"--")</f>
        <v>4909.1383320845143</v>
      </c>
      <c r="O43" s="90" t="str">
        <f>IFERROR(K43*T43, "--")</f>
        <v>--</v>
      </c>
      <c r="P43" s="91">
        <f>IFERROR(L43*U43, "--")</f>
        <v>1550754.5325153372</v>
      </c>
      <c r="Q43" s="91">
        <f>IFERROR(M43*V43, "--")</f>
        <v>229256.14875861679</v>
      </c>
      <c r="R43" s="91">
        <f>IFERROR(N43*W43, "--")</f>
        <v>245456.91660422573</v>
      </c>
      <c r="T43" s="109">
        <v>10</v>
      </c>
      <c r="U43" s="110">
        <v>10</v>
      </c>
      <c r="V43" s="110">
        <v>50</v>
      </c>
      <c r="W43" s="111">
        <v>50</v>
      </c>
    </row>
    <row r="44" spans="2:23" ht="15.65" customHeight="1" thickBot="1" x14ac:dyDescent="0.4">
      <c r="B44" s="82" t="s">
        <v>123</v>
      </c>
      <c r="C44" s="83" t="s">
        <v>68</v>
      </c>
      <c r="D44" s="83" t="s">
        <v>107</v>
      </c>
      <c r="E44" s="121"/>
      <c r="F44" s="98"/>
      <c r="G44" s="112"/>
      <c r="H44" s="100"/>
      <c r="I44" s="113"/>
      <c r="J44" s="102"/>
      <c r="K44" s="103"/>
      <c r="L44" s="103"/>
      <c r="M44" s="103"/>
      <c r="N44" s="104"/>
      <c r="O44" s="105" t="str">
        <f>CONCATENATE("(APF ",T43,")")</f>
        <v>(APF 10)</v>
      </c>
      <c r="P44" s="105" t="str">
        <f>CONCATENATE("(APF ",U43,")")</f>
        <v>(APF 10)</v>
      </c>
      <c r="Q44" s="105" t="str">
        <f>CONCATENATE("(APF ",V43,")")</f>
        <v>(APF 50)</v>
      </c>
      <c r="R44" s="105" t="str">
        <f>CONCATENATE("(APF ",W43,")")</f>
        <v>(APF 50)</v>
      </c>
      <c r="T44" s="114" t="s">
        <v>111</v>
      </c>
      <c r="U44" s="115" t="s">
        <v>111</v>
      </c>
      <c r="V44" s="115" t="s">
        <v>111</v>
      </c>
      <c r="W44" s="116" t="s">
        <v>111</v>
      </c>
    </row>
    <row r="45" spans="2:23" ht="16.5" customHeight="1" thickBot="1" x14ac:dyDescent="0.4">
      <c r="B45" s="82" t="s">
        <v>125</v>
      </c>
      <c r="C45" s="83" t="s">
        <v>80</v>
      </c>
      <c r="D45" s="83" t="s">
        <v>107</v>
      </c>
      <c r="E45" s="121"/>
      <c r="F45" s="98"/>
      <c r="G45" s="85" t="s">
        <v>456</v>
      </c>
      <c r="H45" s="86" t="s">
        <v>80</v>
      </c>
      <c r="I45" s="86" t="s">
        <v>110</v>
      </c>
      <c r="J45" s="87" t="s">
        <v>71</v>
      </c>
      <c r="K45" s="88" t="str">
        <f>IFERROR(VLOOKUP($D45,$Y$9:$AB$10,2,FALSE)/IF($D45="Inhalation",IF($J45="Central Tendency",SUMIFS('Inhalation Exposure_Short-Term'!$F$7:$F$397,'Inhalation Exposure_Short-Term'!$B$7:$B$397,$B45,'Inhalation Exposure_Short-Term'!$D$7:$D$397,$C45),SUMIFS('Inhalation Exposure_Short-Term'!$G$7:$G$397,'Inhalation Exposure_Short-Term'!$B$7:$B$397,$B45,'Inhalation Exposure_Short-Term'!$D$7:$D$397,$C45)),IF($J45="Central Tendency",VLOOKUP($B45,'Dermal Exposure'!$A$6:$L$19,9,FALSE),VLOOKUP($B45,'Dermal Exposure'!$A$6:$L$19,4,FALSE))),"--")</f>
        <v>--</v>
      </c>
      <c r="L45" s="88">
        <f>IFERROR(VLOOKUP($D45,$Y$9:$AB$10,2,FALSE)/IF($D45="Inhalation",IF($J45="Central Tendency",SUMIFS('Inhalation Exposure_8-hr'!$H$6:$H$411,'Inhalation Exposure_8-hr'!$B$6:$B$411,$B45,'Inhalation Exposure_8-hr'!$D$6:$D$411,$C45),SUMIFS('Inhalation Exposure_8-hr'!$I$6:$I$411,'Inhalation Exposure_8-hr'!$B$6:$B$411,$B45,'Inhalation Exposure_8-hr'!$D$6:$D$411,$C45)),IF($J45="Central Tendency",VLOOKUP($B45,'Dermal Exposure'!$A$6:$L$19,9,FALSE),VLOOKUP($B45,'Dermal Exposure'!$A$6:$L$19,4,FALSE))),"--")</f>
        <v>114683.70728834355</v>
      </c>
      <c r="M45" s="88">
        <f>IFERROR(VLOOKUP($D45,$Y$9:$AB$10,3,FALSE)/IF($D45="Inhalation",IF($J45="Central Tendency",SUMIFS('Inhalation Exposure_8-hr'!$L$6:$L$411,'Inhalation Exposure_8-hr'!$B$6:$B$411,$B45,'Inhalation Exposure_8-hr'!$D$6:$D$411,$C45),SUMIFS('Inhalation Exposure_8-hr'!$M$6:$M$411,'Inhalation Exposure_8-hr'!$B$6:$B$411,$B45,'Inhalation Exposure_8-hr'!$D$6:$D$411,$C45)),IF($J45="Central Tendency",VLOOKUP($B45,'Dermal Exposure'!$A$6:$L$19,10,FALSE),VLOOKUP($B45,'Dermal Exposure'!$A$6:$L$19,5,FALSE))),"--")</f>
        <v>3390.8583862902397</v>
      </c>
      <c r="N45" s="89">
        <f>IFERROR(VLOOKUP($D45,$Y$9:$AB$10,4,FALSE)/IF($D45="Inhalation",IF($J45="Central Tendency",SUMIFS('Inhalation Exposure_8-hr'!$N$6:$N$411,'Inhalation Exposure_8-hr'!$B$6:$B$411,$B45,'Inhalation Exposure_8-hr'!$D$6:$D$411,$C45),SUMIFS('Inhalation Exposure_8-hr'!$O$6:$O$411,'Inhalation Exposure_8-hr'!$B$6:$B$411,$B45,'Inhalation Exposure_8-hr'!$D$6:$D$411,$C45)),IF($J45="Central Tendency",VLOOKUP($B45,'Dermal Exposure'!$A$6:$L$19,11,FALSE),VLOOKUP($B45,'Dermal Exposure'!$A$6:$L$19,6,FALSE))),"--")</f>
        <v>3630.4790455880839</v>
      </c>
      <c r="O45" s="90" t="str">
        <f>IFERROR(K45*T45, "--")</f>
        <v>--</v>
      </c>
      <c r="P45" s="91">
        <f>IFERROR(L45*U45, "--")</f>
        <v>1146837.0728834355</v>
      </c>
      <c r="Q45" s="91">
        <f>IFERROR(M45*V45, "--")</f>
        <v>33908.583862902393</v>
      </c>
      <c r="R45" s="91">
        <f>IFERROR(N45*W45, "--")</f>
        <v>36304.790455880837</v>
      </c>
      <c r="T45" s="92">
        <v>10</v>
      </c>
      <c r="U45" s="93">
        <v>10</v>
      </c>
      <c r="V45" s="93">
        <v>10</v>
      </c>
      <c r="W45" s="94">
        <v>10</v>
      </c>
    </row>
    <row r="46" spans="2:23" ht="15.65" customHeight="1" thickBot="1" x14ac:dyDescent="0.4">
      <c r="B46" s="82" t="s">
        <v>125</v>
      </c>
      <c r="C46" s="83" t="s">
        <v>80</v>
      </c>
      <c r="D46" s="83" t="s">
        <v>107</v>
      </c>
      <c r="E46" s="121"/>
      <c r="F46" s="98"/>
      <c r="G46" s="99"/>
      <c r="H46" s="100"/>
      <c r="I46" s="101"/>
      <c r="J46" s="102"/>
      <c r="K46" s="103"/>
      <c r="L46" s="103"/>
      <c r="M46" s="103"/>
      <c r="N46" s="104"/>
      <c r="O46" s="105" t="str">
        <f>CONCATENATE("(APF ",T45,")")</f>
        <v>(APF 10)</v>
      </c>
      <c r="P46" s="105" t="str">
        <f>CONCATENATE("(APF ",U45,")")</f>
        <v>(APF 10)</v>
      </c>
      <c r="Q46" s="105" t="str">
        <f>CONCATENATE("(APF ",V45,")")</f>
        <v>(APF 10)</v>
      </c>
      <c r="R46" s="105" t="str">
        <f>CONCATENATE("(APF ",W45,")")</f>
        <v>(APF 10)</v>
      </c>
      <c r="T46" s="106" t="s">
        <v>111</v>
      </c>
      <c r="U46" s="107" t="s">
        <v>111</v>
      </c>
      <c r="V46" s="107" t="s">
        <v>111</v>
      </c>
      <c r="W46" s="108" t="s">
        <v>111</v>
      </c>
    </row>
    <row r="47" spans="2:23" ht="15.65" customHeight="1" thickBot="1" x14ac:dyDescent="0.4">
      <c r="B47" s="82" t="s">
        <v>125</v>
      </c>
      <c r="C47" s="83" t="s">
        <v>80</v>
      </c>
      <c r="D47" s="83" t="s">
        <v>107</v>
      </c>
      <c r="E47" s="121"/>
      <c r="F47" s="98"/>
      <c r="G47" s="99"/>
      <c r="H47" s="100"/>
      <c r="I47" s="101"/>
      <c r="J47" s="87" t="s">
        <v>112</v>
      </c>
      <c r="K47" s="88" t="str">
        <f>IFERROR(VLOOKUP($D47,$Y$9:$AB$10,2,FALSE)/IF($D47="Inhalation",IF($J47="Central Tendency",SUMIFS('Inhalation Exposure_Short-Term'!$F$7:$F$397,'Inhalation Exposure_Short-Term'!$B$7:$B$397,$B47,'Inhalation Exposure_Short-Term'!$D$7:$D$397,$C47),SUMIFS('Inhalation Exposure_Short-Term'!$G$7:$G$397,'Inhalation Exposure_Short-Term'!$B$7:$B$397,$B47,'Inhalation Exposure_Short-Term'!$D$7:$D$397,$C47)),IF($J47="Central Tendency",VLOOKUP($B47,'Dermal Exposure'!$A$6:$L$19,9,FALSE),VLOOKUP($B47,'Dermal Exposure'!$A$6:$L$19,4,FALSE))),"--")</f>
        <v>--</v>
      </c>
      <c r="L47" s="88">
        <f>IFERROR(VLOOKUP($D47,$Y$9:$AB$10,2,FALSE)/IF($D47="Inhalation",IF($J47="Central Tendency",SUMIFS('Inhalation Exposure_8-hr'!$H$6:$H$411,'Inhalation Exposure_8-hr'!$B$6:$B$411,$B47,'Inhalation Exposure_8-hr'!$D$6:$D$411,$C47),SUMIFS('Inhalation Exposure_8-hr'!$I$6:$I$411,'Inhalation Exposure_8-hr'!$B$6:$B$411,$B47,'Inhalation Exposure_8-hr'!$D$6:$D$411,$C47)),IF($J47="Central Tendency",VLOOKUP($B47,'Dermal Exposure'!$A$6:$L$19,9,FALSE),VLOOKUP($B47,'Dermal Exposure'!$A$6:$L$19,4,FALSE))),"--")</f>
        <v>13394.683026585015</v>
      </c>
      <c r="M47" s="88">
        <f>IFERROR(VLOOKUP($D47,$Y$9:$AB$10,3,FALSE)/IF($D47="Inhalation",IF($J47="Central Tendency",SUMIFS('Inhalation Exposure_8-hr'!$L$6:$L$411,'Inhalation Exposure_8-hr'!$B$6:$B$411,$B47,'Inhalation Exposure_8-hr'!$D$6:$D$411,$C47),SUMIFS('Inhalation Exposure_8-hr'!$M$6:$M$411,'Inhalation Exposure_8-hr'!$B$6:$B$411,$B47,'Inhalation Exposure_8-hr'!$D$6:$D$411,$C47)),IF($J47="Central Tendency",VLOOKUP($B47,'Dermal Exposure'!$A$6:$L$19,10,FALSE),VLOOKUP($B47,'Dermal Exposure'!$A$6:$L$19,5,FALSE))),"--")</f>
        <v>396.04120189626758</v>
      </c>
      <c r="N47" s="89">
        <f>IFERROR(VLOOKUP($D47,$Y$9:$AB$10,4,FALSE)/IF($D47="Inhalation",IF($J47="Central Tendency",SUMIFS('Inhalation Exposure_8-hr'!$N$6:$N$411,'Inhalation Exposure_8-hr'!$B$6:$B$411,$B47,'Inhalation Exposure_8-hr'!$D$6:$D$411,$C47),SUMIFS('Inhalation Exposure_8-hr'!$O$6:$O$411,'Inhalation Exposure_8-hr'!$B$6:$B$411,$B47,'Inhalation Exposure_8-hr'!$D$6:$D$411,$C47)),IF($J47="Central Tendency",VLOOKUP($B47,'Dermal Exposure'!$A$6:$L$19,11,FALSE),VLOOKUP($B47,'Dermal Exposure'!$A$6:$L$19,6,FALSE))),"--")</f>
        <v>424.02811349693718</v>
      </c>
      <c r="O47" s="90" t="str">
        <f>IFERROR(K47*T47, "--")</f>
        <v>--</v>
      </c>
      <c r="P47" s="91">
        <f>IFERROR(L47*U47, "--")</f>
        <v>133946.83026585015</v>
      </c>
      <c r="Q47" s="91">
        <f>IFERROR(M47*V47, "--")</f>
        <v>3960.4120189626756</v>
      </c>
      <c r="R47" s="91">
        <f>IFERROR(N47*W47, "--")</f>
        <v>4240.281134969372</v>
      </c>
      <c r="T47" s="109">
        <v>10</v>
      </c>
      <c r="U47" s="110">
        <v>10</v>
      </c>
      <c r="V47" s="110">
        <v>10</v>
      </c>
      <c r="W47" s="111">
        <v>10</v>
      </c>
    </row>
    <row r="48" spans="2:23" ht="15.65" customHeight="1" thickBot="1" x14ac:dyDescent="0.4">
      <c r="B48" s="82" t="s">
        <v>125</v>
      </c>
      <c r="C48" s="83" t="s">
        <v>80</v>
      </c>
      <c r="D48" s="83" t="s">
        <v>107</v>
      </c>
      <c r="E48" s="121"/>
      <c r="F48" s="98"/>
      <c r="G48" s="112"/>
      <c r="H48" s="118"/>
      <c r="I48" s="113"/>
      <c r="J48" s="102"/>
      <c r="K48" s="103"/>
      <c r="L48" s="103"/>
      <c r="M48" s="103"/>
      <c r="N48" s="104"/>
      <c r="O48" s="105" t="str">
        <f>CONCATENATE("(APF ",T47,")")</f>
        <v>(APF 10)</v>
      </c>
      <c r="P48" s="105" t="str">
        <f>CONCATENATE("(APF ",U47,")")</f>
        <v>(APF 10)</v>
      </c>
      <c r="Q48" s="105" t="str">
        <f>CONCATENATE("(APF ",V47,")")</f>
        <v>(APF 10)</v>
      </c>
      <c r="R48" s="105" t="str">
        <f>CONCATENATE("(APF ",W47,")")</f>
        <v>(APF 10)</v>
      </c>
      <c r="T48" s="114" t="s">
        <v>111</v>
      </c>
      <c r="U48" s="115" t="s">
        <v>111</v>
      </c>
      <c r="V48" s="115" t="s">
        <v>111</v>
      </c>
      <c r="W48" s="116" t="s">
        <v>111</v>
      </c>
    </row>
    <row r="49" spans="2:23" ht="16.5" customHeight="1" thickBot="1" x14ac:dyDescent="0.4">
      <c r="B49" s="82">
        <v>2</v>
      </c>
      <c r="C49" s="83" t="s">
        <v>68</v>
      </c>
      <c r="D49" s="83" t="s">
        <v>58</v>
      </c>
      <c r="E49" s="121"/>
      <c r="F49" s="98"/>
      <c r="G49" s="85" t="s">
        <v>129</v>
      </c>
      <c r="H49" s="86" t="s">
        <v>68</v>
      </c>
      <c r="I49" s="101" t="s">
        <v>58</v>
      </c>
      <c r="J49" s="120" t="s">
        <v>71</v>
      </c>
      <c r="K49" s="88" t="s">
        <v>86</v>
      </c>
      <c r="L49" s="88" t="s">
        <v>86</v>
      </c>
      <c r="M49" s="88">
        <f>IFERROR(VLOOKUP($D49,$Y$9:$AB$10,3,FALSE)/IF($D49="Inhalation",IF($J49="Central Tendency",SUMIFS('Inhalation Exposure_8-hr'!$L$6:$L$411,'Inhalation Exposure_8-hr'!$B$6:$B$411,$B49,'Inhalation Exposure_8-hr'!$D$6:$D$411,$C49),SUMIFS('Inhalation Exposure_8-hr'!$M$6:$M$411,'Inhalation Exposure_8-hr'!$B$6:$B$411,$B49,'Inhalation Exposure_8-hr'!$D$6:$D$411,$C49)),IF($J49="Central Tendency",VLOOKUP($B49,'Dermal Exposure'!$A$6:$L$19,5,FALSE),VLOOKUP($B49,'Dermal Exposure'!$A$6:$L$19,10,FALSE))),"--")</f>
        <v>24173.430938184028</v>
      </c>
      <c r="N49" s="89">
        <f>IFERROR(VLOOKUP($D49,$Y$9:$AB$10,4,FALSE)/IF($D49="Inhalation",IF($J49="Central Tendency",SUMIFS('Inhalation Exposure_8-hr'!$N$6:$N$411,'Inhalation Exposure_8-hr'!$B$6:$B$411,$B49,'Inhalation Exposure_8-hr'!$D$6:$D$411,$C49),SUMIFS('Inhalation Exposure_8-hr'!$O$6:$O$411,'Inhalation Exposure_8-hr'!$B$6:$B$411,$B49,'Inhalation Exposure_8-hr'!$D$6:$D$411,$C49)),IF($J49="Central Tendency",VLOOKUP($B49,'Dermal Exposure'!$A$6:$L$19,6,FALSE),VLOOKUP($B49,'Dermal Exposure'!$A$6:$L$19,11,FALSE))),"--")</f>
        <v>25881.68672448237</v>
      </c>
      <c r="O49" s="90" t="str">
        <f>IFERROR(K49*T49, "--")</f>
        <v>--</v>
      </c>
      <c r="P49" s="91" t="str">
        <f>IFERROR(L49*U49, "--")</f>
        <v>--</v>
      </c>
      <c r="Q49" s="91">
        <f>IFERROR(M49*V49, "--")</f>
        <v>120867.15469092014</v>
      </c>
      <c r="R49" s="91">
        <f>IFERROR(N49*W49, "--")</f>
        <v>129408.43362241185</v>
      </c>
      <c r="T49" s="92">
        <v>5</v>
      </c>
      <c r="U49" s="93">
        <v>5</v>
      </c>
      <c r="V49" s="93">
        <v>5</v>
      </c>
      <c r="W49" s="94">
        <v>5</v>
      </c>
    </row>
    <row r="50" spans="2:23" ht="15.65" customHeight="1" thickBot="1" x14ac:dyDescent="0.4">
      <c r="B50" s="82">
        <v>2</v>
      </c>
      <c r="C50" s="83" t="s">
        <v>68</v>
      </c>
      <c r="D50" s="83" t="s">
        <v>58</v>
      </c>
      <c r="E50" s="121"/>
      <c r="F50" s="98"/>
      <c r="G50" s="99"/>
      <c r="H50" s="100"/>
      <c r="I50" s="101"/>
      <c r="J50" s="120"/>
      <c r="K50" s="103"/>
      <c r="L50" s="103"/>
      <c r="M50" s="103"/>
      <c r="N50" s="104"/>
      <c r="O50" s="105" t="str">
        <f>CONCATENATE("(PF ",T49,")")</f>
        <v>(PF 5)</v>
      </c>
      <c r="P50" s="105" t="str">
        <f>CONCATENATE("(PF ",U49,")")</f>
        <v>(PF 5)</v>
      </c>
      <c r="Q50" s="105" t="str">
        <f>CONCATENATE("(PF ",V49,")")</f>
        <v>(PF 5)</v>
      </c>
      <c r="R50" s="105" t="str">
        <f>CONCATENATE("(PF ",W49,")")</f>
        <v>(PF 5)</v>
      </c>
      <c r="T50" s="106" t="s">
        <v>118</v>
      </c>
      <c r="U50" s="107" t="s">
        <v>118</v>
      </c>
      <c r="V50" s="107" t="s">
        <v>118</v>
      </c>
      <c r="W50" s="108" t="s">
        <v>118</v>
      </c>
    </row>
    <row r="51" spans="2:23" ht="15.65" customHeight="1" thickBot="1" x14ac:dyDescent="0.4">
      <c r="B51" s="82">
        <v>2</v>
      </c>
      <c r="C51" s="83" t="s">
        <v>68</v>
      </c>
      <c r="D51" s="83" t="s">
        <v>58</v>
      </c>
      <c r="E51" s="121"/>
      <c r="F51" s="98"/>
      <c r="G51" s="99"/>
      <c r="H51" s="100"/>
      <c r="I51" s="101"/>
      <c r="J51" s="87" t="s">
        <v>112</v>
      </c>
      <c r="K51" s="88" t="s">
        <v>86</v>
      </c>
      <c r="L51" s="88" t="s">
        <v>86</v>
      </c>
      <c r="M51" s="88">
        <f>IFERROR(VLOOKUP($D51,$Y$9:$AB$10,3,FALSE)/IF($D51="Inhalation",IF($J51="Central Tendency",SUMIFS('Inhalation Exposure_8-hr'!$L$6:$L$411,'Inhalation Exposure_8-hr'!$B$6:$B$411,$B51,'Inhalation Exposure_8-hr'!$D$6:$D$411,$C51),SUMIFS('Inhalation Exposure_8-hr'!$M$6:$M$411,'Inhalation Exposure_8-hr'!$B$6:$B$411,$B51,'Inhalation Exposure_8-hr'!$D$6:$D$411,$C51)),IF($J51="Central Tendency",VLOOKUP($B51,'Dermal Exposure'!$A$6:$L$19,5,FALSE),VLOOKUP($B51,'Dermal Exposure'!$A$6:$L$19,10,FALSE))),"--")</f>
        <v>8648.0698155834398</v>
      </c>
      <c r="N51" s="89">
        <f>IFERROR(VLOOKUP($D51,$Y$9:$AB$10,4,FALSE)/IF($D51="Inhalation",IF($J51="Central Tendency",SUMIFS('Inhalation Exposure_8-hr'!$N$6:$N$411,'Inhalation Exposure_8-hr'!$B$6:$B$411,$B51,'Inhalation Exposure_8-hr'!$D$6:$D$411,$C51),SUMIFS('Inhalation Exposure_8-hr'!$O$6:$O$411,'Inhalation Exposure_8-hr'!$B$6:$B$411,$B51,'Inhalation Exposure_8-hr'!$D$6:$D$411,$C51)),IF($J51="Central Tendency",VLOOKUP($B51,'Dermal Exposure'!$A$6:$L$19,6,FALSE),VLOOKUP($B51,'Dermal Exposure'!$A$6:$L$19,11,FALSE))),"--")</f>
        <v>9259.2000825513369</v>
      </c>
      <c r="O51" s="90" t="str">
        <f>IFERROR(K51*T51, "--")</f>
        <v>--</v>
      </c>
      <c r="P51" s="91" t="str">
        <f>IFERROR(L51*U51, "--")</f>
        <v>--</v>
      </c>
      <c r="Q51" s="91">
        <f>IFERROR(M51*V51, "--")</f>
        <v>43240.349077917199</v>
      </c>
      <c r="R51" s="91">
        <f>IFERROR(N51*W51, "--")</f>
        <v>46296.000412756686</v>
      </c>
      <c r="T51" s="109">
        <v>5</v>
      </c>
      <c r="U51" s="110">
        <v>5</v>
      </c>
      <c r="V51" s="110">
        <v>5</v>
      </c>
      <c r="W51" s="111">
        <v>5</v>
      </c>
    </row>
    <row r="52" spans="2:23" ht="15.65" customHeight="1" thickBot="1" x14ac:dyDescent="0.4">
      <c r="B52" s="82">
        <v>2</v>
      </c>
      <c r="C52" s="83" t="s">
        <v>68</v>
      </c>
      <c r="D52" s="83" t="s">
        <v>58</v>
      </c>
      <c r="E52" s="121"/>
      <c r="F52" s="98"/>
      <c r="G52" s="112"/>
      <c r="H52" s="118"/>
      <c r="I52" s="113"/>
      <c r="J52" s="102"/>
      <c r="K52" s="103"/>
      <c r="L52" s="103"/>
      <c r="M52" s="103"/>
      <c r="N52" s="104"/>
      <c r="O52" s="105" t="str">
        <f>CONCATENATE("(PF ",T51,")")</f>
        <v>(PF 5)</v>
      </c>
      <c r="P52" s="105" t="str">
        <f>CONCATENATE("(PF ",U51,")")</f>
        <v>(PF 5)</v>
      </c>
      <c r="Q52" s="105" t="str">
        <f>CONCATENATE("(PF ",V51,")")</f>
        <v>(PF 5)</v>
      </c>
      <c r="R52" s="105" t="str">
        <f>CONCATENATE("(PF ",W51,")")</f>
        <v>(PF 5)</v>
      </c>
      <c r="T52" s="114" t="s">
        <v>118</v>
      </c>
      <c r="U52" s="115" t="s">
        <v>118</v>
      </c>
      <c r="V52" s="115" t="s">
        <v>118</v>
      </c>
      <c r="W52" s="116" t="s">
        <v>118</v>
      </c>
    </row>
    <row r="53" spans="2:23" ht="15.75" customHeight="1" thickBot="1" x14ac:dyDescent="0.4">
      <c r="B53" s="82" t="s">
        <v>130</v>
      </c>
      <c r="C53" s="83" t="s">
        <v>68</v>
      </c>
      <c r="D53" s="83" t="s">
        <v>107</v>
      </c>
      <c r="E53" s="121"/>
      <c r="F53" s="84" t="s">
        <v>131</v>
      </c>
      <c r="G53" s="85" t="s">
        <v>132</v>
      </c>
      <c r="H53" s="86" t="s">
        <v>68</v>
      </c>
      <c r="I53" s="86" t="s">
        <v>110</v>
      </c>
      <c r="J53" s="86" t="s">
        <v>71</v>
      </c>
      <c r="K53" s="88" t="str">
        <f>IFERROR(VLOOKUP($D53,$Y$9:$AB$10,2,FALSE)/IF($D53="Inhalation",IF($J53="Central Tendency",SUMIFS('Inhalation Exposure_Short-Term'!$F$7:$F$397,'Inhalation Exposure_Short-Term'!$B$7:$B$397,$B53,'Inhalation Exposure_Short-Term'!$D$7:$D$397,$C53),SUMIFS('Inhalation Exposure_Short-Term'!$G$7:$G$397,'Inhalation Exposure_Short-Term'!$B$7:$B$397,$B53,'Inhalation Exposure_Short-Term'!$D$7:$D$397,$C53)),IF($J53="Central Tendency",VLOOKUP($B53,'Dermal Exposure'!$A$6:$L$19,9,FALSE),VLOOKUP($B53,'Dermal Exposure'!$A$6:$L$19,4,FALSE))),"--")</f>
        <v>--</v>
      </c>
      <c r="L53" s="88">
        <f>IFERROR(VLOOKUP($D53,$Y$9:$AB$10,2,FALSE)/IF($D53="Inhalation",IF($J53="Central Tendency",SUMIFS('Inhalation Exposure_8-hr'!$H$6:$H$411,'Inhalation Exposure_8-hr'!$B$6:$B$411,$B53,'Inhalation Exposure_8-hr'!$D$6:$D$411,$C53),SUMIFS('Inhalation Exposure_8-hr'!$I$6:$I$411,'Inhalation Exposure_8-hr'!$B$6:$B$411,$B53,'Inhalation Exposure_8-hr'!$D$6:$D$411,$C53)),IF($J53="Central Tendency",VLOOKUP($B53,'Dermal Exposure'!$A$6:$L$19,9,FALSE),VLOOKUP($B53,'Dermal Exposure'!$A$6:$L$19,4,FALSE))),"--")</f>
        <v>2007.5069244906942</v>
      </c>
      <c r="M53" s="88">
        <f>IFERROR(VLOOKUP($D53,$Y$9:$AB$10,3,FALSE)/IF($D53="Inhalation",IF($J53="Central Tendency",SUMIFS('Inhalation Exposure_8-hr'!$L$6:$L$411,'Inhalation Exposure_8-hr'!$B$6:$B$411,$B53,'Inhalation Exposure_8-hr'!$D$6:$D$411,$C53),SUMIFS('Inhalation Exposure_8-hr'!$M$6:$M$411,'Inhalation Exposure_8-hr'!$B$6:$B$411,$B53,'Inhalation Exposure_8-hr'!$D$6:$D$411,$C53)),IF($J53="Central Tendency",VLOOKUP($B53,'Dermal Exposure'!$A$6:$L$19,10,FALSE),VLOOKUP($B53,'Dermal Exposure'!$A$6:$L$19,5,FALSE))),"--")</f>
        <v>59.356048486731098</v>
      </c>
      <c r="N53" s="89">
        <f>IFERROR(VLOOKUP($D53,$Y$9:$AB$10,4,FALSE)/IF($D53="Inhalation",IF($J53="Central Tendency",SUMIFS('Inhalation Exposure_8-hr'!$N$6:$N$411,'Inhalation Exposure_8-hr'!$B$6:$B$411,$B53,'Inhalation Exposure_8-hr'!$D$6:$D$411,$C53),SUMIFS('Inhalation Exposure_8-hr'!$O$6:$O$411,'Inhalation Exposure_8-hr'!$B$6:$B$411,$B53,'Inhalation Exposure_8-hr'!$D$6:$D$411,$C53)),IF($J53="Central Tendency",VLOOKUP($B53,'Dermal Exposure'!$A$6:$L$19,11,FALSE),VLOOKUP($B53,'Dermal Exposure'!$A$6:$L$19,6,FALSE))),"--")</f>
        <v>95.13554278412191</v>
      </c>
      <c r="O53" s="91" t="str">
        <f>IFERROR(K53*T53, "--")</f>
        <v>--</v>
      </c>
      <c r="P53" s="91">
        <f>IFERROR(L53*U53, "--")</f>
        <v>20075.069244906943</v>
      </c>
      <c r="Q53" s="91">
        <f>IFERROR(M53*V53, "--")</f>
        <v>593.56048486731095</v>
      </c>
      <c r="R53" s="91">
        <f>IFERROR(N53*W53, "--")</f>
        <v>951.35542784121913</v>
      </c>
      <c r="T53" s="92">
        <v>10</v>
      </c>
      <c r="U53" s="93">
        <v>10</v>
      </c>
      <c r="V53" s="93">
        <v>10</v>
      </c>
      <c r="W53" s="94">
        <v>10</v>
      </c>
    </row>
    <row r="54" spans="2:23" ht="15" thickBot="1" x14ac:dyDescent="0.4">
      <c r="B54" s="82" t="s">
        <v>130</v>
      </c>
      <c r="C54" s="83" t="s">
        <v>68</v>
      </c>
      <c r="D54" s="83" t="s">
        <v>107</v>
      </c>
      <c r="E54" s="121"/>
      <c r="F54" s="98"/>
      <c r="G54" s="99"/>
      <c r="H54" s="100"/>
      <c r="I54" s="101"/>
      <c r="J54" s="113"/>
      <c r="K54" s="103"/>
      <c r="L54" s="103"/>
      <c r="M54" s="103"/>
      <c r="N54" s="104"/>
      <c r="O54" s="105" t="str">
        <f>CONCATENATE("(APF ",T53,")")</f>
        <v>(APF 10)</v>
      </c>
      <c r="P54" s="105" t="str">
        <f>CONCATENATE("(APF ",U53,")")</f>
        <v>(APF 10)</v>
      </c>
      <c r="Q54" s="105" t="str">
        <f>CONCATENATE("(APF ",V53,")")</f>
        <v>(APF 10)</v>
      </c>
      <c r="R54" s="105" t="str">
        <f>CONCATENATE("(APF ",W53,")")</f>
        <v>(APF 10)</v>
      </c>
      <c r="T54" s="106" t="s">
        <v>111</v>
      </c>
      <c r="U54" s="107" t="s">
        <v>111</v>
      </c>
      <c r="V54" s="107" t="s">
        <v>111</v>
      </c>
      <c r="W54" s="108" t="s">
        <v>111</v>
      </c>
    </row>
    <row r="55" spans="2:23" ht="15" thickBot="1" x14ac:dyDescent="0.4">
      <c r="B55" s="82" t="s">
        <v>130</v>
      </c>
      <c r="C55" s="83" t="s">
        <v>68</v>
      </c>
      <c r="D55" s="83" t="s">
        <v>107</v>
      </c>
      <c r="E55" s="121"/>
      <c r="F55" s="98"/>
      <c r="G55" s="99"/>
      <c r="H55" s="100"/>
      <c r="I55" s="101"/>
      <c r="J55" s="86" t="s">
        <v>112</v>
      </c>
      <c r="K55" s="88" t="str">
        <f>IFERROR(VLOOKUP($D55,$Y$9:$AB$10,2,FALSE)/IF($D55="Inhalation",IF($J55="Central Tendency",SUMIFS('Inhalation Exposure_Short-Term'!$F$7:$F$397,'Inhalation Exposure_Short-Term'!$B$7:$B$397,$B55,'Inhalation Exposure_Short-Term'!$D$7:$D$397,$C55),SUMIFS('Inhalation Exposure_Short-Term'!$G$7:$G$397,'Inhalation Exposure_Short-Term'!$B$7:$B$397,$B55,'Inhalation Exposure_Short-Term'!$D$7:$D$397,$C55)),IF($J55="Central Tendency",VLOOKUP($B55,'Dermal Exposure'!$A$6:$L$19,9,FALSE),VLOOKUP($B55,'Dermal Exposure'!$A$6:$L$19,4,FALSE))),"--")</f>
        <v>--</v>
      </c>
      <c r="L55" s="88">
        <f>IFERROR(VLOOKUP($D55,$Y$9:$AB$10,2,FALSE)/IF($D55="Inhalation",IF($J55="Central Tendency",SUMIFS('Inhalation Exposure_8-hr'!$H$6:$H$411,'Inhalation Exposure_8-hr'!$B$6:$B$411,$B55,'Inhalation Exposure_8-hr'!$D$6:$D$411,$C55),SUMIFS('Inhalation Exposure_8-hr'!$I$6:$I$411,'Inhalation Exposure_8-hr'!$B$6:$B$411,$B55,'Inhalation Exposure_8-hr'!$D$6:$D$411,$C55)),IF($J55="Central Tendency",VLOOKUP($B55,'Dermal Exposure'!$A$6:$L$19,9,FALSE),VLOOKUP($B55,'Dermal Exposure'!$A$6:$L$19,4,FALSE))),"--")</f>
        <v>1338.337949660463</v>
      </c>
      <c r="M55" s="88">
        <f>IFERROR(VLOOKUP($D55,$Y$9:$AB$10,3,FALSE)/IF($D55="Inhalation",IF($J55="Central Tendency",SUMIFS('Inhalation Exposure_8-hr'!$L$6:$L$411,'Inhalation Exposure_8-hr'!$B$6:$B$411,$B55,'Inhalation Exposure_8-hr'!$D$6:$D$411,$C55),SUMIFS('Inhalation Exposure_8-hr'!$M$6:$M$411,'Inhalation Exposure_8-hr'!$B$6:$B$411,$B55,'Inhalation Exposure_8-hr'!$D$6:$D$411,$C55)),IF($J55="Central Tendency",VLOOKUP($B55,'Dermal Exposure'!$A$6:$L$19,10,FALSE),VLOOKUP($B55,'Dermal Exposure'!$A$6:$L$19,5,FALSE))),"--")</f>
        <v>39.570698991154067</v>
      </c>
      <c r="N55" s="89">
        <f>IFERROR(VLOOKUP($D55,$Y$9:$AB$10,4,FALSE)/IF($D55="Inhalation",IF($J55="Central Tendency",SUMIFS('Inhalation Exposure_8-hr'!$N$6:$N$411,'Inhalation Exposure_8-hr'!$B$6:$B$411,$B55,'Inhalation Exposure_8-hr'!$D$6:$D$411,$C55),SUMIFS('Inhalation Exposure_8-hr'!$O$6:$O$411,'Inhalation Exposure_8-hr'!$B$6:$B$411,$B55,'Inhalation Exposure_8-hr'!$D$6:$D$411,$C55)),IF($J55="Central Tendency",VLOOKUP($B55,'Dermal Exposure'!$A$6:$L$19,11,FALSE),VLOOKUP($B55,'Dermal Exposure'!$A$6:$L$19,6,FALSE))),"--")</f>
        <v>42.367028386528958</v>
      </c>
      <c r="O55" s="91" t="str">
        <f>IFERROR(K55*T55, "--")</f>
        <v>--</v>
      </c>
      <c r="P55" s="91">
        <f>IFERROR(L55*U55, "--")</f>
        <v>13383.37949660463</v>
      </c>
      <c r="Q55" s="91">
        <f>IFERROR(M55*V55, "--")</f>
        <v>395.70698991154069</v>
      </c>
      <c r="R55" s="91">
        <f>IFERROR(N55*W55, "--")</f>
        <v>423.67028386528955</v>
      </c>
      <c r="T55" s="109">
        <v>10</v>
      </c>
      <c r="U55" s="110">
        <v>10</v>
      </c>
      <c r="V55" s="110">
        <v>10</v>
      </c>
      <c r="W55" s="111">
        <v>10</v>
      </c>
    </row>
    <row r="56" spans="2:23" ht="15" thickBot="1" x14ac:dyDescent="0.4">
      <c r="B56" s="82" t="s">
        <v>130</v>
      </c>
      <c r="C56" s="83" t="s">
        <v>68</v>
      </c>
      <c r="D56" s="83" t="s">
        <v>107</v>
      </c>
      <c r="E56" s="121"/>
      <c r="F56" s="98"/>
      <c r="G56" s="112"/>
      <c r="H56" s="100"/>
      <c r="I56" s="113"/>
      <c r="J56" s="113"/>
      <c r="K56" s="103"/>
      <c r="L56" s="103"/>
      <c r="M56" s="103"/>
      <c r="N56" s="104"/>
      <c r="O56" s="105" t="str">
        <f>CONCATENATE("(APF ",T55,")")</f>
        <v>(APF 10)</v>
      </c>
      <c r="P56" s="105" t="str">
        <f>CONCATENATE("(APF ",U55,")")</f>
        <v>(APF 10)</v>
      </c>
      <c r="Q56" s="105" t="str">
        <f>CONCATENATE("(APF ",V55,")")</f>
        <v>(APF 10)</v>
      </c>
      <c r="R56" s="105" t="str">
        <f>CONCATENATE("(APF ",W55,")")</f>
        <v>(APF 10)</v>
      </c>
      <c r="T56" s="114" t="s">
        <v>111</v>
      </c>
      <c r="U56" s="115" t="s">
        <v>111</v>
      </c>
      <c r="V56" s="115" t="s">
        <v>111</v>
      </c>
      <c r="W56" s="116" t="s">
        <v>111</v>
      </c>
    </row>
    <row r="57" spans="2:23" ht="15.75" customHeight="1" thickBot="1" x14ac:dyDescent="0.4">
      <c r="B57" s="82" t="s">
        <v>133</v>
      </c>
      <c r="C57" s="83" t="s">
        <v>68</v>
      </c>
      <c r="D57" s="83" t="s">
        <v>107</v>
      </c>
      <c r="E57" s="121"/>
      <c r="F57" s="98"/>
      <c r="G57" s="85" t="s">
        <v>134</v>
      </c>
      <c r="H57" s="100"/>
      <c r="I57" s="86" t="s">
        <v>110</v>
      </c>
      <c r="J57" s="86" t="s">
        <v>71</v>
      </c>
      <c r="K57" s="88" t="str">
        <f>IFERROR(VLOOKUP($D57,$Y$9:$AB$10,2,FALSE)/IF($D57="Inhalation",IF($J57="Central Tendency",SUMIFS('Inhalation Exposure_Short-Term'!$F$7:$F$397,'Inhalation Exposure_Short-Term'!$B$7:$B$397,$B57,'Inhalation Exposure_Short-Term'!$D$7:$D$397,$C57),SUMIFS('Inhalation Exposure_Short-Term'!$G$7:$G$397,'Inhalation Exposure_Short-Term'!$B$7:$B$397,$B57,'Inhalation Exposure_Short-Term'!$D$7:$D$397,$C57)),IF($J57="Central Tendency",VLOOKUP($B57,'Dermal Exposure'!$A$6:$L$19,9,FALSE),VLOOKUP($B57,'Dermal Exposure'!$A$6:$L$19,4,FALSE))),"--")</f>
        <v>--</v>
      </c>
      <c r="L57" s="88">
        <f>IFERROR(VLOOKUP($D57,$Y$9:$AB$10,2,FALSE)/IF($D57="Inhalation",IF($J57="Central Tendency",SUMIFS('Inhalation Exposure_8-hr'!$H$6:$H$411,'Inhalation Exposure_8-hr'!$B$6:$B$411,$B57,'Inhalation Exposure_8-hr'!$D$6:$D$411,$C57),SUMIFS('Inhalation Exposure_8-hr'!$I$6:$I$411,'Inhalation Exposure_8-hr'!$B$6:$B$411,$B57,'Inhalation Exposure_8-hr'!$D$6:$D$411,$C57)),IF($J57="Central Tendency",VLOOKUP($B57,'Dermal Exposure'!$A$6:$L$19,9,FALSE),VLOOKUP($B57,'Dermal Exposure'!$A$6:$L$19,4,FALSE))),"--")</f>
        <v>72.087748652165828</v>
      </c>
      <c r="M57" s="88">
        <f>IFERROR(VLOOKUP($D57,$Y$9:$AB$10,3,FALSE)/IF($D57="Inhalation",IF($J57="Central Tendency",SUMIFS('Inhalation Exposure_8-hr'!$L$6:$L$411,'Inhalation Exposure_8-hr'!$B$6:$B$411,$B57,'Inhalation Exposure_8-hr'!$D$6:$D$411,$C57),SUMIFS('Inhalation Exposure_8-hr'!$M$6:$M$411,'Inhalation Exposure_8-hr'!$B$6:$B$411,$B57,'Inhalation Exposure_8-hr'!$D$6:$D$411,$C57)),IF($J57="Central Tendency",VLOOKUP($B57,'Dermal Exposure'!$A$6:$L$19,10,FALSE),VLOOKUP($B57,'Dermal Exposure'!$A$6:$L$19,5,FALSE))),"--")</f>
        <v>2.1314217411144352</v>
      </c>
      <c r="N57" s="89">
        <f>IFERROR(VLOOKUP($D57,$Y$9:$AB$10,4,FALSE)/IF($D57="Inhalation",IF($J57="Central Tendency",SUMIFS('Inhalation Exposure_8-hr'!$N$6:$N$411,'Inhalation Exposure_8-hr'!$B$6:$B$411,$B57,'Inhalation Exposure_8-hr'!$D$6:$D$411,$C57),SUMIFS('Inhalation Exposure_8-hr'!$O$6:$O$411,'Inhalation Exposure_8-hr'!$B$6:$B$411,$B57,'Inhalation Exposure_8-hr'!$D$6:$D$411,$C57)),IF($J57="Central Tendency",VLOOKUP($B57,'Dermal Exposure'!$A$6:$L$19,11,FALSE),VLOOKUP($B57,'Dermal Exposure'!$A$6:$L$19,6,FALSE))),"--")</f>
        <v>3.4162308545207409</v>
      </c>
      <c r="O57" s="91" t="str">
        <f>IFERROR(K57*T57, "--")</f>
        <v>--</v>
      </c>
      <c r="P57" s="91">
        <f>IFERROR(L57*U57, "--")</f>
        <v>720.87748652165828</v>
      </c>
      <c r="Q57" s="91">
        <f>IFERROR(M57*V57, "--")</f>
        <v>106.57108705572176</v>
      </c>
      <c r="R57" s="91">
        <f>IFERROR(N57*W57, "--")</f>
        <v>170.81154272603703</v>
      </c>
      <c r="T57" s="92">
        <v>10</v>
      </c>
      <c r="U57" s="93">
        <v>10</v>
      </c>
      <c r="V57" s="93">
        <v>50</v>
      </c>
      <c r="W57" s="94">
        <v>50</v>
      </c>
    </row>
    <row r="58" spans="2:23" ht="15" thickBot="1" x14ac:dyDescent="0.4">
      <c r="B58" s="82" t="s">
        <v>133</v>
      </c>
      <c r="C58" s="83" t="s">
        <v>68</v>
      </c>
      <c r="D58" s="83" t="s">
        <v>107</v>
      </c>
      <c r="E58" s="121"/>
      <c r="F58" s="98"/>
      <c r="G58" s="99"/>
      <c r="H58" s="100"/>
      <c r="I58" s="101"/>
      <c r="J58" s="113"/>
      <c r="K58" s="103"/>
      <c r="L58" s="103"/>
      <c r="M58" s="103"/>
      <c r="N58" s="104"/>
      <c r="O58" s="105" t="str">
        <f>CONCATENATE("(APF ",T57,")")</f>
        <v>(APF 10)</v>
      </c>
      <c r="P58" s="105" t="str">
        <f>CONCATENATE("(APF ",U57,")")</f>
        <v>(APF 10)</v>
      </c>
      <c r="Q58" s="105" t="str">
        <f>CONCATENATE("(APF ",V57,")")</f>
        <v>(APF 50)</v>
      </c>
      <c r="R58" s="105" t="str">
        <f>CONCATENATE("(APF ",W57,")")</f>
        <v>(APF 50)</v>
      </c>
      <c r="T58" s="106" t="s">
        <v>111</v>
      </c>
      <c r="U58" s="107" t="s">
        <v>111</v>
      </c>
      <c r="V58" s="107" t="s">
        <v>111</v>
      </c>
      <c r="W58" s="108" t="s">
        <v>111</v>
      </c>
    </row>
    <row r="59" spans="2:23" ht="15" thickBot="1" x14ac:dyDescent="0.4">
      <c r="B59" s="82" t="s">
        <v>133</v>
      </c>
      <c r="C59" s="83" t="s">
        <v>68</v>
      </c>
      <c r="D59" s="83" t="s">
        <v>107</v>
      </c>
      <c r="E59" s="121"/>
      <c r="F59" s="98"/>
      <c r="G59" s="99"/>
      <c r="H59" s="100"/>
      <c r="I59" s="101"/>
      <c r="J59" s="86" t="s">
        <v>112</v>
      </c>
      <c r="K59" s="88" t="str">
        <f>IFERROR(VLOOKUP($D59,$Y$9:$AB$10,2,FALSE)/IF($D59="Inhalation",IF($J59="Central Tendency",SUMIFS('Inhalation Exposure_Short-Term'!$F$7:$F$397,'Inhalation Exposure_Short-Term'!$B$7:$B$397,$B59,'Inhalation Exposure_Short-Term'!$D$7:$D$397,$C59),SUMIFS('Inhalation Exposure_Short-Term'!$G$7:$G$397,'Inhalation Exposure_Short-Term'!$B$7:$B$397,$B59,'Inhalation Exposure_Short-Term'!$D$7:$D$397,$C59)),IF($J59="Central Tendency",VLOOKUP($B59,'Dermal Exposure'!$A$6:$L$19,9,FALSE),VLOOKUP($B59,'Dermal Exposure'!$A$6:$L$19,4,FALSE))),"--")</f>
        <v>--</v>
      </c>
      <c r="L59" s="88">
        <f>IFERROR(VLOOKUP($D59,$Y$9:$AB$10,2,FALSE)/IF($D59="Inhalation",IF($J59="Central Tendency",SUMIFS('Inhalation Exposure_8-hr'!$H$6:$H$411,'Inhalation Exposure_8-hr'!$B$6:$B$411,$B59,'Inhalation Exposure_8-hr'!$D$6:$D$411,$C59),SUMIFS('Inhalation Exposure_8-hr'!$I$6:$I$411,'Inhalation Exposure_8-hr'!$B$6:$B$411,$B59,'Inhalation Exposure_8-hr'!$D$6:$D$411,$C59)),IF($J59="Central Tendency",VLOOKUP($B59,'Dermal Exposure'!$A$6:$L$19,9,FALSE),VLOOKUP($B59,'Dermal Exposure'!$A$6:$L$19,4,FALSE))),"--")</f>
        <v>15.733437205829844</v>
      </c>
      <c r="M59" s="88">
        <f>IFERROR(VLOOKUP($D59,$Y$9:$AB$10,3,FALSE)/IF($D59="Inhalation",IF($J59="Central Tendency",SUMIFS('Inhalation Exposure_8-hr'!$L$6:$L$411,'Inhalation Exposure_8-hr'!$B$6:$B$411,$B59,'Inhalation Exposure_8-hr'!$D$6:$D$411,$C59),SUMIFS('Inhalation Exposure_8-hr'!$M$6:$M$411,'Inhalation Exposure_8-hr'!$B$6:$B$411,$B59,'Inhalation Exposure_8-hr'!$D$6:$D$411,$C59)),IF($J59="Central Tendency",VLOOKUP($B59,'Dermal Exposure'!$A$6:$L$19,10,FALSE),VLOOKUP($B59,'Dermal Exposure'!$A$6:$L$19,5,FALSE))),"--")</f>
        <v>0.46519125302100756</v>
      </c>
      <c r="N59" s="89">
        <f>IFERROR(VLOOKUP($D59,$Y$9:$AB$10,4,FALSE)/IF($D59="Inhalation",IF($J59="Central Tendency",SUMIFS('Inhalation Exposure_8-hr'!$N$6:$N$411,'Inhalation Exposure_8-hr'!$B$6:$B$411,$B59,'Inhalation Exposure_8-hr'!$D$6:$D$411,$C59),SUMIFS('Inhalation Exposure_8-hr'!$O$6:$O$411,'Inhalation Exposure_8-hr'!$B$6:$B$411,$B59,'Inhalation Exposure_8-hr'!$D$6:$D$411,$C59)),IF($J59="Central Tendency",VLOOKUP($B59,'Dermal Exposure'!$A$6:$L$19,11,FALSE),VLOOKUP($B59,'Dermal Exposure'!$A$6:$L$19,6,FALSE))),"--")</f>
        <v>0.49806476823449214</v>
      </c>
      <c r="O59" s="91" t="str">
        <f>IFERROR(K59*T59, "--")</f>
        <v>--</v>
      </c>
      <c r="P59" s="91">
        <f>IFERROR(L59*U59, "--")</f>
        <v>157.33437205829844</v>
      </c>
      <c r="Q59" s="91">
        <f>IFERROR(M59*V59, "--")</f>
        <v>23.259562651050377</v>
      </c>
      <c r="R59" s="91">
        <f>IFERROR(N59*W59, "--")</f>
        <v>24.903238411724608</v>
      </c>
      <c r="T59" s="109">
        <v>10</v>
      </c>
      <c r="U59" s="110">
        <v>10</v>
      </c>
      <c r="V59" s="110">
        <v>50</v>
      </c>
      <c r="W59" s="111">
        <v>50</v>
      </c>
    </row>
    <row r="60" spans="2:23" ht="15" thickBot="1" x14ac:dyDescent="0.4">
      <c r="B60" s="82" t="s">
        <v>133</v>
      </c>
      <c r="C60" s="83" t="s">
        <v>68</v>
      </c>
      <c r="D60" s="83" t="s">
        <v>107</v>
      </c>
      <c r="E60" s="121"/>
      <c r="F60" s="98"/>
      <c r="G60" s="112"/>
      <c r="H60" s="100"/>
      <c r="I60" s="113"/>
      <c r="J60" s="113"/>
      <c r="K60" s="103"/>
      <c r="L60" s="103"/>
      <c r="M60" s="103"/>
      <c r="N60" s="104"/>
      <c r="O60" s="105" t="str">
        <f>CONCATENATE("(APF ",T59,")")</f>
        <v>(APF 10)</v>
      </c>
      <c r="P60" s="105" t="str">
        <f>CONCATENATE("(APF ",U59,")")</f>
        <v>(APF 10)</v>
      </c>
      <c r="Q60" s="105" t="str">
        <f>CONCATENATE("(APF ",V59,")")</f>
        <v>(APF 50)</v>
      </c>
      <c r="R60" s="105" t="str">
        <f>CONCATENATE("(APF ",W59,")")</f>
        <v>(APF 50)</v>
      </c>
      <c r="T60" s="114" t="s">
        <v>111</v>
      </c>
      <c r="U60" s="115" t="s">
        <v>111</v>
      </c>
      <c r="V60" s="115" t="s">
        <v>111</v>
      </c>
      <c r="W60" s="116" t="s">
        <v>111</v>
      </c>
    </row>
    <row r="61" spans="2:23" ht="15" thickBot="1" x14ac:dyDescent="0.4">
      <c r="B61" s="82" t="s">
        <v>458</v>
      </c>
      <c r="C61" s="83" t="s">
        <v>80</v>
      </c>
      <c r="D61" s="83" t="s">
        <v>107</v>
      </c>
      <c r="E61" s="121"/>
      <c r="F61" s="98"/>
      <c r="G61" s="85" t="s">
        <v>457</v>
      </c>
      <c r="H61" s="86" t="s">
        <v>80</v>
      </c>
      <c r="I61" s="86" t="s">
        <v>110</v>
      </c>
      <c r="J61" s="86" t="s">
        <v>71</v>
      </c>
      <c r="K61" s="88" t="str">
        <f>IFERROR(VLOOKUP($D61,$Y$9:$AB$10,2,FALSE)/IF($D61="Inhalation",IF($J61="Central Tendency",SUMIFS('Inhalation Exposure_Short-Term'!$F$7:$F$397,'Inhalation Exposure_Short-Term'!$B$7:$B$397,$B61,'Inhalation Exposure_Short-Term'!$D$7:$D$397,$C61),SUMIFS('Inhalation Exposure_Short-Term'!$G$7:$G$397,'Inhalation Exposure_Short-Term'!$B$7:$B$397,$B61,'Inhalation Exposure_Short-Term'!$D$7:$D$397,$C61)),IF($J61="Central Tendency",VLOOKUP($B61,'Dermal Exposure'!$A$6:$L$19,9,FALSE),VLOOKUP($B61,'Dermal Exposure'!$A$6:$L$19,4,FALSE))),"--")</f>
        <v>--</v>
      </c>
      <c r="L61" s="88">
        <f>IFERROR(VLOOKUP($D61,$Y$9:$AB$10,2,FALSE)/IF($D61="Inhalation",IF($J61="Central Tendency",SUMIFS('Inhalation Exposure_8-hr'!$H$6:$H$411,'Inhalation Exposure_8-hr'!$B$6:$B$411,$B61,'Inhalation Exposure_8-hr'!$D$6:$D$411,$C61),SUMIFS('Inhalation Exposure_8-hr'!$I$6:$I$411,'Inhalation Exposure_8-hr'!$B$6:$B$411,$B61,'Inhalation Exposure_8-hr'!$D$6:$D$411,$C61)),IF($J61="Central Tendency",VLOOKUP($B61,'Dermal Exposure'!$A$6:$L$19,9,FALSE),VLOOKUP($B61,'Dermal Exposure'!$A$6:$L$19,4,FALSE))),"--")</f>
        <v>1391.1670792523228</v>
      </c>
      <c r="M61" s="88">
        <f>IFERROR(VLOOKUP($D61,$Y$9:$AB$10,3,FALSE)/IF($D61="Inhalation",IF($J61="Central Tendency",SUMIFS('Inhalation Exposure_8-hr'!$L$6:$L$411,'Inhalation Exposure_8-hr'!$B$6:$B$411,$B61,'Inhalation Exposure_8-hr'!$D$6:$D$411,$C61),SUMIFS('Inhalation Exposure_8-hr'!$M$6:$M$411,'Inhalation Exposure_8-hr'!$B$6:$B$411,$B61,'Inhalation Exposure_8-hr'!$D$6:$D$411,$C61)),IF($J61="Central Tendency",VLOOKUP($B61,'Dermal Exposure'!$A$6:$L$19,10,FALSE),VLOOKUP($B61,'Dermal Exposure'!$A$6:$L$19,5,FALSE))),"--")</f>
        <v>41.132700267120676</v>
      </c>
      <c r="N61" s="89">
        <f>IFERROR(VLOOKUP($D61,$Y$9:$AB$10,4,FALSE)/IF($D61="Inhalation",IF($J61="Central Tendency",SUMIFS('Inhalation Exposure_8-hr'!$N$6:$N$411,'Inhalation Exposure_8-hr'!$B$6:$B$411,$B61,'Inhalation Exposure_8-hr'!$D$6:$D$411,$C61),SUMIFS('Inhalation Exposure_8-hr'!$O$6:$O$411,'Inhalation Exposure_8-hr'!$B$6:$B$411,$B61,'Inhalation Exposure_8-hr'!$D$6:$D$411,$C61)),IF($J61="Central Tendency",VLOOKUP($B61,'Dermal Exposure'!$A$6:$L$19,11,FALSE),VLOOKUP($B61,'Dermal Exposure'!$A$6:$L$19,6,FALSE))),"--")</f>
        <v>65.927262104786223</v>
      </c>
      <c r="O61" s="91" t="str">
        <f>IFERROR(K61*T61, "--")</f>
        <v>--</v>
      </c>
      <c r="P61" s="91">
        <f>IFERROR(L61*U61, "--")</f>
        <v>13911.670792523228</v>
      </c>
      <c r="Q61" s="91">
        <f>IFERROR(M61*V61, "--")</f>
        <v>2056.6350133560336</v>
      </c>
      <c r="R61" s="91">
        <f>IFERROR(N61*W61, "--")</f>
        <v>3296.3631052393112</v>
      </c>
      <c r="T61" s="92">
        <v>10</v>
      </c>
      <c r="U61" s="93">
        <v>10</v>
      </c>
      <c r="V61" s="93">
        <v>50</v>
      </c>
      <c r="W61" s="94">
        <v>50</v>
      </c>
    </row>
    <row r="62" spans="2:23" ht="15" thickBot="1" x14ac:dyDescent="0.4">
      <c r="B62" s="82" t="s">
        <v>458</v>
      </c>
      <c r="C62" s="83" t="s">
        <v>80</v>
      </c>
      <c r="D62" s="83" t="s">
        <v>107</v>
      </c>
      <c r="E62" s="121"/>
      <c r="F62" s="98"/>
      <c r="G62" s="99"/>
      <c r="H62" s="100"/>
      <c r="I62" s="101"/>
      <c r="J62" s="113"/>
      <c r="K62" s="103"/>
      <c r="L62" s="103"/>
      <c r="M62" s="103"/>
      <c r="N62" s="104"/>
      <c r="O62" s="105" t="str">
        <f>CONCATENATE("(APF ",T61,")")</f>
        <v>(APF 10)</v>
      </c>
      <c r="P62" s="105" t="str">
        <f>CONCATENATE("(APF ",U61,")")</f>
        <v>(APF 10)</v>
      </c>
      <c r="Q62" s="105" t="str">
        <f>CONCATENATE("(APF ",V61,")")</f>
        <v>(APF 50)</v>
      </c>
      <c r="R62" s="105" t="str">
        <f>CONCATENATE("(APF ",W61,")")</f>
        <v>(APF 50)</v>
      </c>
      <c r="T62" s="106" t="s">
        <v>111</v>
      </c>
      <c r="U62" s="107" t="s">
        <v>111</v>
      </c>
      <c r="V62" s="107" t="s">
        <v>111</v>
      </c>
      <c r="W62" s="108" t="s">
        <v>111</v>
      </c>
    </row>
    <row r="63" spans="2:23" ht="15" thickBot="1" x14ac:dyDescent="0.4">
      <c r="B63" s="82" t="s">
        <v>458</v>
      </c>
      <c r="C63" s="83" t="s">
        <v>80</v>
      </c>
      <c r="D63" s="83" t="s">
        <v>107</v>
      </c>
      <c r="E63" s="121"/>
      <c r="F63" s="98"/>
      <c r="G63" s="99"/>
      <c r="H63" s="100"/>
      <c r="I63" s="101"/>
      <c r="J63" s="86" t="s">
        <v>112</v>
      </c>
      <c r="K63" s="88" t="str">
        <f>IFERROR(VLOOKUP($D63,$Y$9:$AB$10,2,FALSE)/IF($D63="Inhalation",IF($J63="Central Tendency",SUMIFS('Inhalation Exposure_Short-Term'!$F$7:$F$397,'Inhalation Exposure_Short-Term'!$B$7:$B$397,$B63,'Inhalation Exposure_Short-Term'!$D$7:$D$397,$C63),SUMIFS('Inhalation Exposure_Short-Term'!$G$7:$G$397,'Inhalation Exposure_Short-Term'!$B$7:$B$397,$B63,'Inhalation Exposure_Short-Term'!$D$7:$D$397,$C63)),IF($J63="Central Tendency",VLOOKUP($B63,'Dermal Exposure'!$A$6:$L$19,9,FALSE),VLOOKUP($B63,'Dermal Exposure'!$A$6:$L$19,4,FALSE))),"--")</f>
        <v>--</v>
      </c>
      <c r="L63" s="88">
        <f>IFERROR(VLOOKUP($D63,$Y$9:$AB$10,2,FALSE)/IF($D63="Inhalation",IF($J63="Central Tendency",SUMIFS('Inhalation Exposure_8-hr'!$H$6:$H$411,'Inhalation Exposure_8-hr'!$B$6:$B$411,$B63,'Inhalation Exposure_8-hr'!$D$6:$D$411,$C63),SUMIFS('Inhalation Exposure_8-hr'!$I$6:$I$411,'Inhalation Exposure_8-hr'!$B$6:$B$411,$B63,'Inhalation Exposure_8-hr'!$D$6:$D$411,$C63)),IF($J63="Central Tendency",VLOOKUP($B63,'Dermal Exposure'!$A$6:$L$19,9,FALSE),VLOOKUP($B63,'Dermal Exposure'!$A$6:$L$19,4,FALSE))),"--")</f>
        <v>1391.1670792523228</v>
      </c>
      <c r="M63" s="88">
        <f>IFERROR(VLOOKUP($D63,$Y$9:$AB$10,3,FALSE)/IF($D63="Inhalation",IF($J63="Central Tendency",SUMIFS('Inhalation Exposure_8-hr'!$L$6:$L$411,'Inhalation Exposure_8-hr'!$B$6:$B$411,$B63,'Inhalation Exposure_8-hr'!$D$6:$D$411,$C63),SUMIFS('Inhalation Exposure_8-hr'!$M$6:$M$411,'Inhalation Exposure_8-hr'!$B$6:$B$411,$B63,'Inhalation Exposure_8-hr'!$D$6:$D$411,$C63)),IF($J63="Central Tendency",VLOOKUP($B63,'Dermal Exposure'!$A$6:$L$19,10,FALSE),VLOOKUP($B63,'Dermal Exposure'!$A$6:$L$19,5,FALSE))),"--")</f>
        <v>41.132700267120676</v>
      </c>
      <c r="N63" s="89">
        <f>IFERROR(VLOOKUP($D63,$Y$9:$AB$10,4,FALSE)/IF($D63="Inhalation",IF($J63="Central Tendency",SUMIFS('Inhalation Exposure_8-hr'!$N$6:$N$411,'Inhalation Exposure_8-hr'!$B$6:$B$411,$B63,'Inhalation Exposure_8-hr'!$D$6:$D$411,$C63),SUMIFS('Inhalation Exposure_8-hr'!$O$6:$O$411,'Inhalation Exposure_8-hr'!$B$6:$B$411,$B63,'Inhalation Exposure_8-hr'!$D$6:$D$411,$C63)),IF($J63="Central Tendency",VLOOKUP($B63,'Dermal Exposure'!$A$6:$L$19,11,FALSE),VLOOKUP($B63,'Dermal Exposure'!$A$6:$L$19,6,FALSE))),"--")</f>
        <v>44.039411085997202</v>
      </c>
      <c r="O63" s="91" t="str">
        <f>IFERROR(K63*T63, "--")</f>
        <v>--</v>
      </c>
      <c r="P63" s="91">
        <f>IFERROR(L63*U63, "--")</f>
        <v>13911.670792523228</v>
      </c>
      <c r="Q63" s="91">
        <f>IFERROR(M63*V63, "--")</f>
        <v>2056.6350133560336</v>
      </c>
      <c r="R63" s="91">
        <f>IFERROR(N63*W63, "--")</f>
        <v>2201.9705542998599</v>
      </c>
      <c r="T63" s="109">
        <v>10</v>
      </c>
      <c r="U63" s="110">
        <v>10</v>
      </c>
      <c r="V63" s="110">
        <v>50</v>
      </c>
      <c r="W63" s="111">
        <v>50</v>
      </c>
    </row>
    <row r="64" spans="2:23" ht="15" thickBot="1" x14ac:dyDescent="0.4">
      <c r="B64" s="82" t="s">
        <v>458</v>
      </c>
      <c r="C64" s="83" t="s">
        <v>80</v>
      </c>
      <c r="D64" s="83" t="s">
        <v>107</v>
      </c>
      <c r="E64" s="121"/>
      <c r="F64" s="98"/>
      <c r="G64" s="112"/>
      <c r="H64" s="118"/>
      <c r="I64" s="113"/>
      <c r="J64" s="113"/>
      <c r="K64" s="103"/>
      <c r="L64" s="103"/>
      <c r="M64" s="103"/>
      <c r="N64" s="104"/>
      <c r="O64" s="105" t="str">
        <f>CONCATENATE("(APF ",T63,")")</f>
        <v>(APF 10)</v>
      </c>
      <c r="P64" s="105" t="str">
        <f>CONCATENATE("(APF ",U63,")")</f>
        <v>(APF 10)</v>
      </c>
      <c r="Q64" s="105" t="str">
        <f>CONCATENATE("(APF ",V63,")")</f>
        <v>(APF 50)</v>
      </c>
      <c r="R64" s="105" t="str">
        <f>CONCATENATE("(APF ",W63,")")</f>
        <v>(APF 50)</v>
      </c>
      <c r="T64" s="114" t="s">
        <v>111</v>
      </c>
      <c r="U64" s="115" t="s">
        <v>111</v>
      </c>
      <c r="V64" s="115" t="s">
        <v>111</v>
      </c>
      <c r="W64" s="116" t="s">
        <v>111</v>
      </c>
    </row>
    <row r="65" spans="2:29" ht="15.75" customHeight="1" thickBot="1" x14ac:dyDescent="0.4">
      <c r="B65" s="82" t="s">
        <v>516</v>
      </c>
      <c r="C65" s="83" t="s">
        <v>68</v>
      </c>
      <c r="D65" s="83" t="s">
        <v>107</v>
      </c>
      <c r="E65" s="121"/>
      <c r="F65" s="98"/>
      <c r="G65" s="85" t="s">
        <v>517</v>
      </c>
      <c r="H65" s="86" t="s">
        <v>68</v>
      </c>
      <c r="I65" s="86" t="s">
        <v>110</v>
      </c>
      <c r="J65" s="101" t="s">
        <v>71</v>
      </c>
      <c r="K65" s="88">
        <f>IFERROR(VLOOKUP($D65,$Y$9:$AB$10,2,FALSE)/IF($D65="Inhalation",IF($J65="Central Tendency",SUMIFS('Inhalation Exposure_Short-Term'!$F$7:$F$397,'Inhalation Exposure_Short-Term'!$B$7:$B$397,$B65,'Inhalation Exposure_Short-Term'!$D$7:$D$397,$C65),SUMIFS('Inhalation Exposure_Short-Term'!$G$7:$G$397,'Inhalation Exposure_Short-Term'!$B$7:$B$397,$B65,'Inhalation Exposure_Short-Term'!$D$7:$D$397,$C65)),IF($J65="Central Tendency",VLOOKUP($B65,'Dermal Exposure'!$A$6:$L$19,9,FALSE),VLOOKUP($B65,'Dermal Exposure'!$A$6:$L$19,4,FALSE))),"--")</f>
        <v>215.05376344086019</v>
      </c>
      <c r="L65" s="88" t="str">
        <f>IFERROR(VLOOKUP($D65,$Y$9:$AB$10,2,FALSE)/IF($D65="Inhalation",IF($J65="Central Tendency",SUMIFS('Inhalation Exposure_8-hr'!$H$6:$H$411,'Inhalation Exposure_8-hr'!$B$6:$B$411,$B65,'Inhalation Exposure_8-hr'!$D$6:$D$411,$C65),SUMIFS('Inhalation Exposure_8-hr'!$I$6:$I$411,'Inhalation Exposure_8-hr'!$B$6:$B$411,$B65,'Inhalation Exposure_8-hr'!$D$6:$D$411,$C65)),IF($J65="Central Tendency",VLOOKUP($B65,'Dermal Exposure'!$A$6:$L$19,9,FALSE),VLOOKUP($B65,'Dermal Exposure'!$A$6:$L$19,4,FALSE))),"--")</f>
        <v>--</v>
      </c>
      <c r="M65" s="88" t="str">
        <f>IFERROR(VLOOKUP($D65,$Y$9:$AB$10,3,FALSE)/IF($D65="Inhalation",IF($J65="Central Tendency",SUMIFS('Inhalation Exposure_8-hr'!$L$6:$L$411,'Inhalation Exposure_8-hr'!$B$6:$B$411,$B65,'Inhalation Exposure_8-hr'!$D$6:$D$411,$C65),SUMIFS('Inhalation Exposure_8-hr'!$M$6:$M$411,'Inhalation Exposure_8-hr'!$B$6:$B$411,$B65,'Inhalation Exposure_8-hr'!$D$6:$D$411,$C65)),IF($J65="Central Tendency",VLOOKUP($B65,'Dermal Exposure'!$A$6:$L$19,10,FALSE),VLOOKUP($B65,'Dermal Exposure'!$A$6:$L$19,5,FALSE))),"--")</f>
        <v>--</v>
      </c>
      <c r="N65" s="89" t="str">
        <f>IFERROR(VLOOKUP($D65,$Y$9:$AB$10,4,FALSE)/IF($D65="Inhalation",IF($J65="Central Tendency",SUMIFS('Inhalation Exposure_8-hr'!$N$6:$N$411,'Inhalation Exposure_8-hr'!$B$6:$B$411,$B65,'Inhalation Exposure_8-hr'!$D$6:$D$411,$C65),SUMIFS('Inhalation Exposure_8-hr'!$O$6:$O$411,'Inhalation Exposure_8-hr'!$B$6:$B$411,$B65,'Inhalation Exposure_8-hr'!$D$6:$D$411,$C65)),IF($J65="Central Tendency",VLOOKUP($B65,'Dermal Exposure'!$A$6:$L$19,11,FALSE),VLOOKUP($B65,'Dermal Exposure'!$A$6:$L$19,6,FALSE))),"--")</f>
        <v>--</v>
      </c>
      <c r="O65" s="91">
        <f>IFERROR(K65*T65, "--")</f>
        <v>2150.5376344086021</v>
      </c>
      <c r="P65" s="91" t="str">
        <f>IFERROR(L65*U65, "--")</f>
        <v>--</v>
      </c>
      <c r="Q65" s="91" t="str">
        <f>IFERROR(M65*V65, "--")</f>
        <v>--</v>
      </c>
      <c r="R65" s="91" t="str">
        <f>IFERROR(N65*W65, "--")</f>
        <v>--</v>
      </c>
      <c r="T65" s="92">
        <v>10</v>
      </c>
      <c r="U65" s="93">
        <v>10</v>
      </c>
      <c r="V65" s="93">
        <v>10</v>
      </c>
      <c r="W65" s="94">
        <v>10</v>
      </c>
    </row>
    <row r="66" spans="2:29" ht="15" thickBot="1" x14ac:dyDescent="0.4">
      <c r="B66" s="82" t="s">
        <v>516</v>
      </c>
      <c r="C66" s="83" t="s">
        <v>68</v>
      </c>
      <c r="D66" s="83" t="s">
        <v>107</v>
      </c>
      <c r="E66" s="121"/>
      <c r="F66" s="98"/>
      <c r="G66" s="99"/>
      <c r="H66" s="100"/>
      <c r="I66" s="101"/>
      <c r="J66" s="113"/>
      <c r="K66" s="103"/>
      <c r="L66" s="103"/>
      <c r="M66" s="103"/>
      <c r="N66" s="104"/>
      <c r="O66" s="105" t="str">
        <f>CONCATENATE("(APF ",T65,")")</f>
        <v>(APF 10)</v>
      </c>
      <c r="P66" s="105" t="str">
        <f>CONCATENATE("(APF ",U65,")")</f>
        <v>(APF 10)</v>
      </c>
      <c r="Q66" s="105" t="str">
        <f>CONCATENATE("(APF ",V65,")")</f>
        <v>(APF 10)</v>
      </c>
      <c r="R66" s="105" t="str">
        <f>CONCATENATE("(APF ",W65,")")</f>
        <v>(APF 10)</v>
      </c>
      <c r="T66" s="106" t="s">
        <v>111</v>
      </c>
      <c r="U66" s="107" t="s">
        <v>111</v>
      </c>
      <c r="V66" s="107" t="s">
        <v>111</v>
      </c>
      <c r="W66" s="108" t="s">
        <v>111</v>
      </c>
    </row>
    <row r="67" spans="2:29" ht="15" thickBot="1" x14ac:dyDescent="0.4">
      <c r="B67" s="82" t="s">
        <v>516</v>
      </c>
      <c r="C67" s="83" t="s">
        <v>68</v>
      </c>
      <c r="D67" s="83" t="s">
        <v>107</v>
      </c>
      <c r="E67" s="121"/>
      <c r="F67" s="98"/>
      <c r="G67" s="99"/>
      <c r="H67" s="100"/>
      <c r="I67" s="101"/>
      <c r="J67" s="86" t="s">
        <v>112</v>
      </c>
      <c r="K67" s="88">
        <f>IFERROR(VLOOKUP($D67,$Y$9:$AB$10,2,FALSE)/IF($D67="Inhalation",IF($J67="Central Tendency",SUMIFS('Inhalation Exposure_Short-Term'!$F$7:$F$397,'Inhalation Exposure_Short-Term'!$B$7:$B$397,$B67,'Inhalation Exposure_Short-Term'!$D$7:$D$397,$C67),SUMIFS('Inhalation Exposure_Short-Term'!$G$7:$G$397,'Inhalation Exposure_Short-Term'!$B$7:$B$397,$B67,'Inhalation Exposure_Short-Term'!$D$7:$D$397,$C67)),IF($J67="Central Tendency",VLOOKUP($B67,'Dermal Exposure'!$A$6:$L$19,9,FALSE),VLOOKUP($B67,'Dermal Exposure'!$A$6:$L$19,4,FALSE))),"--")</f>
        <v>24.570024570024575</v>
      </c>
      <c r="L67" s="88" t="str">
        <f>IFERROR(VLOOKUP($D67,$Y$9:$AB$10,2,FALSE)/IF($D67="Inhalation",IF($J67="Central Tendency",SUMIFS('Inhalation Exposure_8-hr'!$H$6:$H$411,'Inhalation Exposure_8-hr'!$B$6:$B$411,$B67,'Inhalation Exposure_8-hr'!$D$6:$D$411,$C67),SUMIFS('Inhalation Exposure_8-hr'!$I$6:$I$411,'Inhalation Exposure_8-hr'!$B$6:$B$411,$B67,'Inhalation Exposure_8-hr'!$D$6:$D$411,$C67)),IF($J67="Central Tendency",VLOOKUP($B67,'Dermal Exposure'!$A$6:$L$19,9,FALSE),VLOOKUP($B67,'Dermal Exposure'!$A$6:$L$19,4,FALSE))),"--")</f>
        <v>--</v>
      </c>
      <c r="M67" s="88" t="str">
        <f>IFERROR(VLOOKUP($D67,$Y$9:$AB$10,3,FALSE)/IF($D67="Inhalation",IF($J67="Central Tendency",SUMIFS('Inhalation Exposure_8-hr'!$L$6:$L$411,'Inhalation Exposure_8-hr'!$B$6:$B$411,$B67,'Inhalation Exposure_8-hr'!$D$6:$D$411,$C67),SUMIFS('Inhalation Exposure_8-hr'!$M$6:$M$411,'Inhalation Exposure_8-hr'!$B$6:$B$411,$B67,'Inhalation Exposure_8-hr'!$D$6:$D$411,$C67)),IF($J67="Central Tendency",VLOOKUP($B67,'Dermal Exposure'!$A$6:$L$19,10,FALSE),VLOOKUP($B67,'Dermal Exposure'!$A$6:$L$19,5,FALSE))),"--")</f>
        <v>--</v>
      </c>
      <c r="N67" s="89" t="str">
        <f>IFERROR(VLOOKUP($D67,$Y$9:$AB$10,4,FALSE)/IF($D67="Inhalation",IF($J67="Central Tendency",SUMIFS('Inhalation Exposure_8-hr'!$N$6:$N$411,'Inhalation Exposure_8-hr'!$B$6:$B$411,$B67,'Inhalation Exposure_8-hr'!$D$6:$D$411,$C67),SUMIFS('Inhalation Exposure_8-hr'!$O$6:$O$411,'Inhalation Exposure_8-hr'!$B$6:$B$411,$B67,'Inhalation Exposure_8-hr'!$D$6:$D$411,$C67)),IF($J67="Central Tendency",VLOOKUP($B67,'Dermal Exposure'!$A$6:$L$19,11,FALSE),VLOOKUP($B67,'Dermal Exposure'!$A$6:$L$19,6,FALSE))),"--")</f>
        <v>--</v>
      </c>
      <c r="O67" s="91">
        <f>IFERROR(K67*T67, "--")</f>
        <v>245.70024570024574</v>
      </c>
      <c r="P67" s="91" t="str">
        <f>IFERROR(L67*U67, "--")</f>
        <v>--</v>
      </c>
      <c r="Q67" s="91" t="str">
        <f>IFERROR(M67*V67, "--")</f>
        <v>--</v>
      </c>
      <c r="R67" s="91" t="str">
        <f>IFERROR(N67*W67, "--")</f>
        <v>--</v>
      </c>
      <c r="T67" s="109">
        <v>10</v>
      </c>
      <c r="U67" s="110">
        <v>10</v>
      </c>
      <c r="V67" s="110">
        <v>50</v>
      </c>
      <c r="W67" s="111">
        <v>50</v>
      </c>
    </row>
    <row r="68" spans="2:29" ht="15" thickBot="1" x14ac:dyDescent="0.4">
      <c r="B68" s="82" t="s">
        <v>516</v>
      </c>
      <c r="C68" s="83" t="s">
        <v>68</v>
      </c>
      <c r="D68" s="83" t="s">
        <v>107</v>
      </c>
      <c r="E68" s="121"/>
      <c r="F68" s="98"/>
      <c r="G68" s="112"/>
      <c r="H68" s="100"/>
      <c r="I68" s="113"/>
      <c r="J68" s="113"/>
      <c r="K68" s="103"/>
      <c r="L68" s="103"/>
      <c r="M68" s="103"/>
      <c r="N68" s="104"/>
      <c r="O68" s="105" t="str">
        <f>CONCATENATE("(APF ",T67,")")</f>
        <v>(APF 10)</v>
      </c>
      <c r="P68" s="105" t="str">
        <f>CONCATENATE("(APF ",U67,")")</f>
        <v>(APF 10)</v>
      </c>
      <c r="Q68" s="105" t="str">
        <f>CONCATENATE("(APF ",V67,")")</f>
        <v>(APF 50)</v>
      </c>
      <c r="R68" s="105" t="str">
        <f>CONCATENATE("(APF ",W67,")")</f>
        <v>(APF 50)</v>
      </c>
      <c r="T68" s="114" t="s">
        <v>111</v>
      </c>
      <c r="U68" s="115" t="s">
        <v>111</v>
      </c>
      <c r="V68" s="115" t="s">
        <v>111</v>
      </c>
      <c r="W68" s="116" t="s">
        <v>111</v>
      </c>
    </row>
    <row r="69" spans="2:29" ht="15" thickBot="1" x14ac:dyDescent="0.4">
      <c r="B69" s="82">
        <v>3</v>
      </c>
      <c r="C69" s="83" t="s">
        <v>68</v>
      </c>
      <c r="D69" s="83" t="s">
        <v>58</v>
      </c>
      <c r="E69" s="121"/>
      <c r="F69" s="98"/>
      <c r="G69" s="85" t="s">
        <v>135</v>
      </c>
      <c r="H69" s="100"/>
      <c r="I69" s="101" t="s">
        <v>58</v>
      </c>
      <c r="J69" s="101" t="s">
        <v>71</v>
      </c>
      <c r="K69" s="88" t="s">
        <v>86</v>
      </c>
      <c r="L69" s="88" t="s">
        <v>86</v>
      </c>
      <c r="M69" s="88">
        <f>IFERROR(VLOOKUP($D69,$Y$9:$AB$10,3,FALSE)/IF($D69="Inhalation",IF($J69="Central Tendency",SUMIFS('Inhalation Exposure_8-hr'!$L$6:$L$411,'Inhalation Exposure_8-hr'!$B$6:$B$411,$B69,'Inhalation Exposure_8-hr'!$D$6:$D$411,$C69),SUMIFS('Inhalation Exposure_8-hr'!$M$6:$M$411,'Inhalation Exposure_8-hr'!$B$6:$B$411,$B69,'Inhalation Exposure_8-hr'!$D$6:$D$411,$C69)),IF($J69="Central Tendency",VLOOKUP($B69,'Dermal Exposure'!$A$6:$L$19,5,FALSE),VLOOKUP($B69,'Dermal Exposure'!$A$6:$L$19,10,FALSE))),"--")</f>
        <v>302.16788672730041</v>
      </c>
      <c r="N69" s="89">
        <f>IFERROR(VLOOKUP($D69,$Y$9:$AB$10,4,FALSE)/IF($D69="Inhalation",IF($J69="Central Tendency",SUMIFS('Inhalation Exposure_8-hr'!$N$6:$N$411,'Inhalation Exposure_8-hr'!$B$6:$B$411,$B69,'Inhalation Exposure_8-hr'!$D$6:$D$411,$C69),SUMIFS('Inhalation Exposure_8-hr'!$O$6:$O$411,'Inhalation Exposure_8-hr'!$B$6:$B$411,$B69,'Inhalation Exposure_8-hr'!$D$6:$D$411,$C69)),IF($J69="Central Tendency",VLOOKUP($B69,'Dermal Exposure'!$A$6:$L$19,6,FALSE),VLOOKUP($B69,'Dermal Exposure'!$A$6:$L$19,11,FALSE))),"--")</f>
        <v>401.38171068131044</v>
      </c>
      <c r="O69" s="91" t="str">
        <f>IFERROR(K69*T69, "--")</f>
        <v>--</v>
      </c>
      <c r="P69" s="91" t="str">
        <f>IFERROR(L69*U69, "--")</f>
        <v>--</v>
      </c>
      <c r="Q69" s="91">
        <f>IFERROR(M69*V69, "--")</f>
        <v>1510.839433636502</v>
      </c>
      <c r="R69" s="91">
        <f>IFERROR(N69*W69, "--")</f>
        <v>2006.9085534065521</v>
      </c>
      <c r="T69" s="92">
        <v>5</v>
      </c>
      <c r="U69" s="93">
        <v>5</v>
      </c>
      <c r="V69" s="93">
        <v>5</v>
      </c>
      <c r="W69" s="94">
        <v>5</v>
      </c>
    </row>
    <row r="70" spans="2:29" ht="15" thickBot="1" x14ac:dyDescent="0.4">
      <c r="B70" s="82">
        <v>3</v>
      </c>
      <c r="C70" s="83" t="s">
        <v>68</v>
      </c>
      <c r="D70" s="83" t="s">
        <v>58</v>
      </c>
      <c r="E70" s="121"/>
      <c r="F70" s="98"/>
      <c r="G70" s="99"/>
      <c r="H70" s="100"/>
      <c r="I70" s="101"/>
      <c r="J70" s="113"/>
      <c r="K70" s="103"/>
      <c r="L70" s="103"/>
      <c r="M70" s="103"/>
      <c r="N70" s="104"/>
      <c r="O70" s="105" t="str">
        <f>CONCATENATE("(PF ",T69,")")</f>
        <v>(PF 5)</v>
      </c>
      <c r="P70" s="105" t="str">
        <f>CONCATENATE("(PF ",U69,")")</f>
        <v>(PF 5)</v>
      </c>
      <c r="Q70" s="105" t="str">
        <f>CONCATENATE("(PF ",V69,")")</f>
        <v>(PF 5)</v>
      </c>
      <c r="R70" s="105" t="str">
        <f>CONCATENATE("(PF ",W69,")")</f>
        <v>(PF 5)</v>
      </c>
      <c r="T70" s="106" t="s">
        <v>118</v>
      </c>
      <c r="U70" s="107" t="s">
        <v>118</v>
      </c>
      <c r="V70" s="107" t="s">
        <v>118</v>
      </c>
      <c r="W70" s="108" t="s">
        <v>118</v>
      </c>
    </row>
    <row r="71" spans="2:29" ht="15" thickBot="1" x14ac:dyDescent="0.4">
      <c r="B71" s="82">
        <v>3</v>
      </c>
      <c r="C71" s="83" t="s">
        <v>68</v>
      </c>
      <c r="D71" s="83" t="s">
        <v>58</v>
      </c>
      <c r="E71" s="121"/>
      <c r="F71" s="98"/>
      <c r="G71" s="99"/>
      <c r="H71" s="100"/>
      <c r="I71" s="101"/>
      <c r="J71" s="86" t="s">
        <v>112</v>
      </c>
      <c r="K71" s="88" t="s">
        <v>86</v>
      </c>
      <c r="L71" s="88" t="s">
        <v>86</v>
      </c>
      <c r="M71" s="88">
        <f>IFERROR(VLOOKUP($D71,$Y$9:$AB$10,3,FALSE)/IF($D71="Inhalation",IF($J71="Central Tendency",SUMIFS('Inhalation Exposure_8-hr'!$L$6:$L$411,'Inhalation Exposure_8-hr'!$B$6:$B$411,$B71,'Inhalation Exposure_8-hr'!$D$6:$D$411,$C71),SUMIFS('Inhalation Exposure_8-hr'!$M$6:$M$411,'Inhalation Exposure_8-hr'!$B$6:$B$411,$B71,'Inhalation Exposure_8-hr'!$D$6:$D$411,$C71)),IF($J71="Central Tendency",VLOOKUP($B71,'Dermal Exposure'!$A$6:$L$19,5,FALSE),VLOOKUP($B71,'Dermal Exposure'!$A$6:$L$19,10,FALSE))),"--")</f>
        <v>108.10087269479301</v>
      </c>
      <c r="N71" s="89">
        <f>IFERROR(VLOOKUP($D71,$Y$9:$AB$10,4,FALSE)/IF($D71="Inhalation",IF($J71="Central Tendency",SUMIFS('Inhalation Exposure_8-hr'!$N$6:$N$411,'Inhalation Exposure_8-hr'!$B$6:$B$411,$B71,'Inhalation Exposure_8-hr'!$D$6:$D$411,$C71),SUMIFS('Inhalation Exposure_8-hr'!$O$6:$O$411,'Inhalation Exposure_8-hr'!$B$6:$B$411,$B71,'Inhalation Exposure_8-hr'!$D$6:$D$411,$C71)),IF($J71="Central Tendency",VLOOKUP($B71,'Dermal Exposure'!$A$6:$L$19,6,FALSE),VLOOKUP($B71,'Dermal Exposure'!$A$6:$L$19,11,FALSE))),"--")</f>
        <v>137.66321926811312</v>
      </c>
      <c r="O71" s="91" t="str">
        <f>IFERROR(K71*T71, "--")</f>
        <v>--</v>
      </c>
      <c r="P71" s="91" t="str">
        <f>IFERROR(L71*U71, "--")</f>
        <v>--</v>
      </c>
      <c r="Q71" s="91">
        <f>IFERROR(M71*V71, "--")</f>
        <v>540.5043634739651</v>
      </c>
      <c r="R71" s="91">
        <f>IFERROR(N71*W71, "--")</f>
        <v>688.31609634056565</v>
      </c>
      <c r="T71" s="109">
        <v>5</v>
      </c>
      <c r="U71" s="110">
        <v>5</v>
      </c>
      <c r="V71" s="110">
        <v>5</v>
      </c>
      <c r="W71" s="111">
        <v>5</v>
      </c>
    </row>
    <row r="72" spans="2:29" ht="15" thickBot="1" x14ac:dyDescent="0.4">
      <c r="B72" s="82">
        <v>3</v>
      </c>
      <c r="C72" s="83" t="s">
        <v>68</v>
      </c>
      <c r="D72" s="83" t="s">
        <v>58</v>
      </c>
      <c r="E72" s="121"/>
      <c r="F72" s="98"/>
      <c r="G72" s="112"/>
      <c r="H72" s="100"/>
      <c r="I72" s="113"/>
      <c r="J72" s="113"/>
      <c r="K72" s="103"/>
      <c r="L72" s="103"/>
      <c r="M72" s="103"/>
      <c r="N72" s="104"/>
      <c r="O72" s="105" t="str">
        <f>CONCATENATE("(PF ",T71,")")</f>
        <v>(PF 5)</v>
      </c>
      <c r="P72" s="105" t="str">
        <f>CONCATENATE("(PF ",U71,")")</f>
        <v>(PF 5)</v>
      </c>
      <c r="Q72" s="105" t="str">
        <f>CONCATENATE("(PF ",V71,")")</f>
        <v>(PF 5)</v>
      </c>
      <c r="R72" s="105" t="str">
        <f>CONCATENATE("(PF ",W71,")")</f>
        <v>(PF 5)</v>
      </c>
      <c r="T72" s="114" t="s">
        <v>118</v>
      </c>
      <c r="U72" s="115" t="s">
        <v>118</v>
      </c>
      <c r="V72" s="115" t="s">
        <v>118</v>
      </c>
      <c r="W72" s="116" t="s">
        <v>118</v>
      </c>
    </row>
    <row r="73" spans="2:29" ht="15.75" customHeight="1" thickBot="1" x14ac:dyDescent="0.4">
      <c r="B73" s="82" t="s">
        <v>136</v>
      </c>
      <c r="C73" s="83" t="s">
        <v>68</v>
      </c>
      <c r="D73" s="83" t="s">
        <v>107</v>
      </c>
      <c r="E73" s="84" t="s">
        <v>137</v>
      </c>
      <c r="F73" s="84" t="s">
        <v>138</v>
      </c>
      <c r="G73" s="85" t="s">
        <v>139</v>
      </c>
      <c r="H73" s="86" t="s">
        <v>68</v>
      </c>
      <c r="I73" s="86" t="s">
        <v>110</v>
      </c>
      <c r="J73" s="86" t="s">
        <v>71</v>
      </c>
      <c r="K73" s="88" t="str">
        <f>IFERROR(VLOOKUP($D73,$Y$9:$AB$10,2,FALSE)/IF($D73="Inhalation",IF($J73="Central Tendency",SUMIFS('Inhalation Exposure_Short-Term'!$F$7:$F$397,'Inhalation Exposure_Short-Term'!$B$7:$B$397,$B73,'Inhalation Exposure_Short-Term'!$D$7:$D$397,$C73),SUMIFS('Inhalation Exposure_Short-Term'!$G$7:$G$397,'Inhalation Exposure_Short-Term'!$B$7:$B$397,$B73,'Inhalation Exposure_Short-Term'!$D$7:$D$397,$C73)),IF($J73="Central Tendency",VLOOKUP($B73,'Dermal Exposure'!$A$6:$L$19,9,FALSE),VLOOKUP($B73,'Dermal Exposure'!$A$6:$L$19,4,FALSE))),"--")</f>
        <v>--</v>
      </c>
      <c r="L73" s="88">
        <f>IFERROR(VLOOKUP($D73,$Y$9:$AB$10,2,FALSE)/IF($D73="Inhalation",IF($J73="Central Tendency",SUMIFS('Inhalation Exposure_8-hr'!$H$6:$H$411,'Inhalation Exposure_8-hr'!$B$6:$B$411,$B73,'Inhalation Exposure_8-hr'!$D$6:$D$411,$C73),SUMIFS('Inhalation Exposure_8-hr'!$I$6:$I$411,'Inhalation Exposure_8-hr'!$B$6:$B$411,$B73,'Inhalation Exposure_8-hr'!$D$6:$D$411,$C73)),IF($J73="Central Tendency",VLOOKUP($B73,'Dermal Exposure'!$A$6:$L$19,9,FALSE),VLOOKUP($B73,'Dermal Exposure'!$A$6:$L$19,4,FALSE))),"--")</f>
        <v>18441.051980786608</v>
      </c>
      <c r="M73" s="88">
        <f>IFERROR(VLOOKUP($D73,$Y$9:$AB$10,3,FALSE)/IF($D73="Inhalation",IF($J73="Central Tendency",SUMIFS('Inhalation Exposure_8-hr'!$L$6:$L$411,'Inhalation Exposure_8-hr'!$B$6:$B$411,$B73,'Inhalation Exposure_8-hr'!$D$6:$D$411,$C73),SUMIFS('Inhalation Exposure_8-hr'!$M$6:$M$411,'Inhalation Exposure_8-hr'!$B$6:$B$411,$B73,'Inhalation Exposure_8-hr'!$D$6:$D$411,$C73)),IF($J73="Central Tendency",VLOOKUP($B73,'Dermal Exposure'!$A$6:$L$19,10,FALSE),VLOOKUP($B73,'Dermal Exposure'!$A$6:$L$19,5,FALSE))),"--")</f>
        <v>545.24742214555317</v>
      </c>
      <c r="N73" s="89">
        <f>IFERROR(VLOOKUP($D73,$Y$9:$AB$10,4,FALSE)/IF($D73="Inhalation",IF($J73="Central Tendency",SUMIFS('Inhalation Exposure_8-hr'!$N$6:$N$411,'Inhalation Exposure_8-hr'!$B$6:$B$411,$B73,'Inhalation Exposure_8-hr'!$D$6:$D$411,$C73),SUMIFS('Inhalation Exposure_8-hr'!$O$6:$O$411,'Inhalation Exposure_8-hr'!$B$6:$B$411,$B73,'Inhalation Exposure_8-hr'!$D$6:$D$411,$C73)),IF($J73="Central Tendency",VLOOKUP($B73,'Dermal Exposure'!$A$6:$L$19,11,FALSE),VLOOKUP($B73,'Dermal Exposure'!$A$6:$L$19,6,FALSE))),"--")</f>
        <v>583.77823997717235</v>
      </c>
      <c r="O73" s="91" t="str">
        <f>IFERROR(K73*T73, "--")</f>
        <v>--</v>
      </c>
      <c r="P73" s="91">
        <f>IFERROR(L73*U73, "--")</f>
        <v>184410.51980786608</v>
      </c>
      <c r="Q73" s="91">
        <f>IFERROR(M73*V73, "--")</f>
        <v>5452.4742214555317</v>
      </c>
      <c r="R73" s="91">
        <f>IFERROR(N73*W73, "--")</f>
        <v>5837.7823997717232</v>
      </c>
      <c r="T73" s="92">
        <v>10</v>
      </c>
      <c r="U73" s="93">
        <v>10</v>
      </c>
      <c r="V73" s="93">
        <v>10</v>
      </c>
      <c r="W73" s="94">
        <v>10</v>
      </c>
    </row>
    <row r="74" spans="2:29" ht="15" thickBot="1" x14ac:dyDescent="0.4">
      <c r="B74" s="82" t="s">
        <v>136</v>
      </c>
      <c r="C74" s="83" t="s">
        <v>68</v>
      </c>
      <c r="D74" s="83" t="s">
        <v>107</v>
      </c>
      <c r="E74" s="98"/>
      <c r="F74" s="98"/>
      <c r="G74" s="99"/>
      <c r="H74" s="100"/>
      <c r="I74" s="101"/>
      <c r="J74" s="113"/>
      <c r="K74" s="103"/>
      <c r="L74" s="103"/>
      <c r="M74" s="103"/>
      <c r="N74" s="104"/>
      <c r="O74" s="105" t="str">
        <f>CONCATENATE("(APF ",T73,")")</f>
        <v>(APF 10)</v>
      </c>
      <c r="P74" s="105" t="str">
        <f>CONCATENATE("(APF ",U73,")")</f>
        <v>(APF 10)</v>
      </c>
      <c r="Q74" s="105" t="str">
        <f>CONCATENATE("(APF ",V73,")")</f>
        <v>(APF 10)</v>
      </c>
      <c r="R74" s="105" t="str">
        <f>CONCATENATE("(APF ",W73,")")</f>
        <v>(APF 10)</v>
      </c>
      <c r="T74" s="106" t="s">
        <v>111</v>
      </c>
      <c r="U74" s="107" t="s">
        <v>111</v>
      </c>
      <c r="V74" s="107" t="s">
        <v>111</v>
      </c>
      <c r="W74" s="108" t="s">
        <v>111</v>
      </c>
    </row>
    <row r="75" spans="2:29" ht="15" thickBot="1" x14ac:dyDescent="0.4">
      <c r="B75" s="82" t="s">
        <v>136</v>
      </c>
      <c r="C75" s="83" t="s">
        <v>68</v>
      </c>
      <c r="D75" s="83" t="s">
        <v>107</v>
      </c>
      <c r="E75" s="98"/>
      <c r="F75" s="98"/>
      <c r="G75" s="99"/>
      <c r="H75" s="100"/>
      <c r="I75" s="101"/>
      <c r="J75" s="86" t="s">
        <v>112</v>
      </c>
      <c r="K75" s="88" t="str">
        <f>IFERROR(VLOOKUP($D75,$Y$9:$AB$10,2,FALSE)/IF($D75="Inhalation",IF($J75="Central Tendency",SUMIFS('Inhalation Exposure_Short-Term'!$F$7:$F$397,'Inhalation Exposure_Short-Term'!$B$7:$B$397,$B75,'Inhalation Exposure_Short-Term'!$D$7:$D$397,$C75),SUMIFS('Inhalation Exposure_Short-Term'!$G$7:$G$397,'Inhalation Exposure_Short-Term'!$B$7:$B$397,$B75,'Inhalation Exposure_Short-Term'!$D$7:$D$397,$C75)),IF($J75="Central Tendency",VLOOKUP($B75,'Dermal Exposure'!$A$6:$L$19,9,FALSE),VLOOKUP($B75,'Dermal Exposure'!$A$6:$L$19,4,FALSE))),"--")</f>
        <v>--</v>
      </c>
      <c r="L75" s="88">
        <f>IFERROR(VLOOKUP($D75,$Y$9:$AB$10,2,FALSE)/IF($D75="Inhalation",IF($J75="Central Tendency",SUMIFS('Inhalation Exposure_8-hr'!$H$6:$H$411,'Inhalation Exposure_8-hr'!$B$6:$B$411,$B75,'Inhalation Exposure_8-hr'!$D$6:$D$411,$C75),SUMIFS('Inhalation Exposure_8-hr'!$I$6:$I$411,'Inhalation Exposure_8-hr'!$B$6:$B$411,$B75,'Inhalation Exposure_8-hr'!$D$6:$D$411,$C75)),IF($J75="Central Tendency",VLOOKUP($B75,'Dermal Exposure'!$A$6:$L$19,9,FALSE),VLOOKUP($B75,'Dermal Exposure'!$A$6:$L$19,4,FALSE))),"--")</f>
        <v>3480.9711816234599</v>
      </c>
      <c r="M75" s="88">
        <f>IFERROR(VLOOKUP($D75,$Y$9:$AB$10,3,FALSE)/IF($D75="Inhalation",IF($J75="Central Tendency",SUMIFS('Inhalation Exposure_8-hr'!$L$6:$L$411,'Inhalation Exposure_8-hr'!$B$6:$B$411,$B75,'Inhalation Exposure_8-hr'!$D$6:$D$411,$C75),SUMIFS('Inhalation Exposure_8-hr'!$M$6:$M$411,'Inhalation Exposure_8-hr'!$B$6:$B$411,$B75,'Inhalation Exposure_8-hr'!$D$6:$D$411,$C75)),IF($J75="Central Tendency",VLOOKUP($B75,'Dermal Exposure'!$A$6:$L$19,10,FALSE),VLOOKUP($B75,'Dermal Exposure'!$A$6:$L$19,5,FALSE))),"--")</f>
        <v>102.92203315302363</v>
      </c>
      <c r="N75" s="89">
        <f>IFERROR(VLOOKUP($D75,$Y$9:$AB$10,4,FALSE)/IF($D75="Inhalation",IF($J75="Central Tendency",SUMIFS('Inhalation Exposure_8-hr'!$N$6:$N$411,'Inhalation Exposure_8-hr'!$B$6:$B$411,$B75,'Inhalation Exposure_8-hr'!$D$6:$D$411,$C75),SUMIFS('Inhalation Exposure_8-hr'!$O$6:$O$411,'Inhalation Exposure_8-hr'!$B$6:$B$411,$B75,'Inhalation Exposure_8-hr'!$D$6:$D$411,$C75)),IF($J75="Central Tendency",VLOOKUP($B75,'Dermal Exposure'!$A$6:$L$19,11,FALSE),VLOOKUP($B75,'Dermal Exposure'!$A$6:$L$19,6,FALSE))),"--")</f>
        <v>110.19519016250399</v>
      </c>
      <c r="O75" s="91" t="str">
        <f>IFERROR(K75*T75, "--")</f>
        <v>--</v>
      </c>
      <c r="P75" s="91">
        <f>IFERROR(L75*U75, "--")</f>
        <v>34809.711816234601</v>
      </c>
      <c r="Q75" s="91">
        <f>IFERROR(M75*V75, "--")</f>
        <v>1029.2203315302363</v>
      </c>
      <c r="R75" s="91">
        <f>IFERROR(N75*W75, "--")</f>
        <v>1101.9519016250399</v>
      </c>
      <c r="T75" s="109">
        <v>10</v>
      </c>
      <c r="U75" s="110">
        <v>10</v>
      </c>
      <c r="V75" s="110">
        <v>10</v>
      </c>
      <c r="W75" s="111">
        <v>10</v>
      </c>
      <c r="AC75" s="119"/>
    </row>
    <row r="76" spans="2:29" ht="15" thickBot="1" x14ac:dyDescent="0.4">
      <c r="B76" s="82" t="s">
        <v>136</v>
      </c>
      <c r="C76" s="83" t="s">
        <v>68</v>
      </c>
      <c r="D76" s="83" t="s">
        <v>107</v>
      </c>
      <c r="E76" s="98"/>
      <c r="F76" s="98"/>
      <c r="G76" s="112"/>
      <c r="H76" s="100"/>
      <c r="I76" s="113"/>
      <c r="J76" s="113"/>
      <c r="K76" s="103"/>
      <c r="L76" s="103"/>
      <c r="M76" s="103"/>
      <c r="N76" s="104"/>
      <c r="O76" s="105" t="str">
        <f>CONCATENATE("(APF ",T75,")")</f>
        <v>(APF 10)</v>
      </c>
      <c r="P76" s="105" t="str">
        <f>CONCATENATE("(APF ",U75,")")</f>
        <v>(APF 10)</v>
      </c>
      <c r="Q76" s="105" t="str">
        <f>CONCATENATE("(APF ",V75,")")</f>
        <v>(APF 10)</v>
      </c>
      <c r="R76" s="105" t="str">
        <f>CONCATENATE("(APF ",W75,")")</f>
        <v>(APF 10)</v>
      </c>
      <c r="T76" s="114" t="s">
        <v>111</v>
      </c>
      <c r="U76" s="115" t="s">
        <v>111</v>
      </c>
      <c r="V76" s="115" t="s">
        <v>111</v>
      </c>
      <c r="W76" s="116" t="s">
        <v>111</v>
      </c>
    </row>
    <row r="77" spans="2:29" ht="16.5" customHeight="1" thickBot="1" x14ac:dyDescent="0.4">
      <c r="B77" s="82" t="s">
        <v>140</v>
      </c>
      <c r="C77" s="83" t="s">
        <v>68</v>
      </c>
      <c r="D77" s="83" t="s">
        <v>107</v>
      </c>
      <c r="E77" s="98"/>
      <c r="F77" s="98"/>
      <c r="G77" s="85" t="s">
        <v>141</v>
      </c>
      <c r="H77" s="100"/>
      <c r="I77" s="86" t="s">
        <v>110</v>
      </c>
      <c r="J77" s="86" t="s">
        <v>71</v>
      </c>
      <c r="K77" s="88" t="str">
        <f>IFERROR(VLOOKUP($D77,$Y$9:$AB$10,2,FALSE)/IF($D77="Inhalation",IF($J77="Central Tendency",SUMIFS('Inhalation Exposure_Short-Term'!$F$7:$F$397,'Inhalation Exposure_Short-Term'!$B$7:$B$397,$B77,'Inhalation Exposure_Short-Term'!$D$7:$D$397,$C77),SUMIFS('Inhalation Exposure_Short-Term'!$G$7:$G$397,'Inhalation Exposure_Short-Term'!$B$7:$B$397,$B77,'Inhalation Exposure_Short-Term'!$D$7:$D$397,$C77)),IF($J77="Central Tendency",VLOOKUP($B77,'Dermal Exposure'!$A$6:$L$19,9,FALSE),VLOOKUP($B77,'Dermal Exposure'!$A$6:$L$19,4,FALSE))),"--")</f>
        <v>--</v>
      </c>
      <c r="L77" s="88">
        <f>IFERROR(VLOOKUP($D77,$Y$9:$AB$10,2,FALSE)/IF($D77="Inhalation",IF($J77="Central Tendency",SUMIFS('Inhalation Exposure_8-hr'!$H$6:$H$411,'Inhalation Exposure_8-hr'!$B$6:$B$411,$B77,'Inhalation Exposure_8-hr'!$D$6:$D$411,$C77),SUMIFS('Inhalation Exposure_8-hr'!$I$6:$I$411,'Inhalation Exposure_8-hr'!$B$6:$B$411,$B77,'Inhalation Exposure_8-hr'!$D$6:$D$411,$C77)),IF($J77="Central Tendency",VLOOKUP($B77,'Dermal Exposure'!$A$6:$L$19,9,FALSE),VLOOKUP($B77,'Dermal Exposure'!$A$6:$L$19,4,FALSE))),"--")</f>
        <v>159643.56737832309</v>
      </c>
      <c r="M77" s="88">
        <f>IFERROR(VLOOKUP($D77,$Y$9:$AB$10,3,FALSE)/IF($D77="Inhalation",IF($J77="Central Tendency",SUMIFS('Inhalation Exposure_8-hr'!$L$6:$L$411,'Inhalation Exposure_8-hr'!$B$6:$B$411,$B77,'Inhalation Exposure_8-hr'!$D$6:$D$411,$C77),SUMIFS('Inhalation Exposure_8-hr'!$M$6:$M$411,'Inhalation Exposure_8-hr'!$B$6:$B$411,$B77,'Inhalation Exposure_8-hr'!$D$6:$D$411,$C77)),IF($J77="Central Tendency",VLOOKUP($B77,'Dermal Exposure'!$A$6:$L$19,10,FALSE),VLOOKUP($B77,'Dermal Exposure'!$A$6:$L$19,5,FALSE))),"--")</f>
        <v>4720.1886132006694</v>
      </c>
      <c r="N77" s="89">
        <f>IFERROR(VLOOKUP($D77,$Y$9:$AB$10,4,FALSE)/IF($D77="Inhalation",IF($J77="Central Tendency",SUMIFS('Inhalation Exposure_8-hr'!$N$6:$N$411,'Inhalation Exposure_8-hr'!$B$6:$B$411,$B77,'Inhalation Exposure_8-hr'!$D$6:$D$411,$C77),SUMIFS('Inhalation Exposure_8-hr'!$O$6:$O$411,'Inhalation Exposure_8-hr'!$B$6:$B$411,$B77,'Inhalation Exposure_8-hr'!$D$6:$D$411,$C77)),IF($J77="Central Tendency",VLOOKUP($B77,'Dermal Exposure'!$A$6:$L$19,11,FALSE),VLOOKUP($B77,'Dermal Exposure'!$A$6:$L$19,6,FALSE))),"--")</f>
        <v>5053.7486085335167</v>
      </c>
      <c r="O77" s="91" t="str">
        <f>IFERROR(K77*T77, "--")</f>
        <v>--</v>
      </c>
      <c r="P77" s="91">
        <f>IFERROR(L77*U77, "--")</f>
        <v>1596435.6737832308</v>
      </c>
      <c r="Q77" s="91">
        <f>IFERROR(M77*V77, "--")</f>
        <v>47201.886132006694</v>
      </c>
      <c r="R77" s="91">
        <f>IFERROR(N77*W77, "--")</f>
        <v>50537.486085335171</v>
      </c>
      <c r="T77" s="92">
        <v>10</v>
      </c>
      <c r="U77" s="93">
        <v>10</v>
      </c>
      <c r="V77" s="93">
        <v>10</v>
      </c>
      <c r="W77" s="94">
        <v>10</v>
      </c>
    </row>
    <row r="78" spans="2:29" ht="16.5" customHeight="1" thickBot="1" x14ac:dyDescent="0.4">
      <c r="B78" s="82" t="s">
        <v>140</v>
      </c>
      <c r="C78" s="83" t="s">
        <v>68</v>
      </c>
      <c r="D78" s="83" t="s">
        <v>107</v>
      </c>
      <c r="E78" s="98"/>
      <c r="F78" s="98"/>
      <c r="G78" s="99"/>
      <c r="H78" s="100"/>
      <c r="I78" s="101"/>
      <c r="J78" s="113"/>
      <c r="K78" s="103"/>
      <c r="L78" s="103"/>
      <c r="M78" s="103"/>
      <c r="N78" s="104"/>
      <c r="O78" s="105" t="str">
        <f>CONCATENATE("(APF ",T77,")")</f>
        <v>(APF 10)</v>
      </c>
      <c r="P78" s="105" t="str">
        <f>CONCATENATE("(APF ",U77,")")</f>
        <v>(APF 10)</v>
      </c>
      <c r="Q78" s="105" t="str">
        <f>CONCATENATE("(APF ",V77,")")</f>
        <v>(APF 10)</v>
      </c>
      <c r="R78" s="105" t="str">
        <f>CONCATENATE("(APF ",W77,")")</f>
        <v>(APF 10)</v>
      </c>
      <c r="T78" s="106" t="s">
        <v>111</v>
      </c>
      <c r="U78" s="107" t="s">
        <v>111</v>
      </c>
      <c r="V78" s="107" t="s">
        <v>111</v>
      </c>
      <c r="W78" s="108" t="s">
        <v>111</v>
      </c>
    </row>
    <row r="79" spans="2:29" ht="15" thickBot="1" x14ac:dyDescent="0.4">
      <c r="B79" s="82" t="s">
        <v>140</v>
      </c>
      <c r="C79" s="83" t="s">
        <v>68</v>
      </c>
      <c r="D79" s="83" t="s">
        <v>107</v>
      </c>
      <c r="E79" s="98"/>
      <c r="F79" s="98"/>
      <c r="G79" s="99"/>
      <c r="H79" s="100"/>
      <c r="I79" s="101"/>
      <c r="J79" s="86" t="s">
        <v>112</v>
      </c>
      <c r="K79" s="88" t="str">
        <f>IFERROR(VLOOKUP($D79,$Y$9:$AB$10,2,FALSE)/IF($D79="Inhalation",IF($J79="Central Tendency",SUMIFS('Inhalation Exposure_Short-Term'!$F$7:$F$397,'Inhalation Exposure_Short-Term'!$B$7:$B$397,$B79,'Inhalation Exposure_Short-Term'!$D$7:$D$397,$C79),SUMIFS('Inhalation Exposure_Short-Term'!$G$7:$G$397,'Inhalation Exposure_Short-Term'!$B$7:$B$397,$B79,'Inhalation Exposure_Short-Term'!$D$7:$D$397,$C79)),IF($J79="Central Tendency",VLOOKUP($B79,'Dermal Exposure'!$A$6:$L$19,9,FALSE),VLOOKUP($B79,'Dermal Exposure'!$A$6:$L$19,4,FALSE))),"--")</f>
        <v>--</v>
      </c>
      <c r="L79" s="88">
        <f>IFERROR(VLOOKUP($D79,$Y$9:$AB$10,2,FALSE)/IF($D79="Inhalation",IF($J79="Central Tendency",SUMIFS('Inhalation Exposure_8-hr'!$H$6:$H$411,'Inhalation Exposure_8-hr'!$B$6:$B$411,$B79,'Inhalation Exposure_8-hr'!$D$6:$D$411,$C79),SUMIFS('Inhalation Exposure_8-hr'!$I$6:$I$411,'Inhalation Exposure_8-hr'!$B$6:$B$411,$B79,'Inhalation Exposure_8-hr'!$D$6:$D$411,$C79)),IF($J79="Central Tendency",VLOOKUP($B79,'Dermal Exposure'!$A$6:$L$19,9,FALSE),VLOOKUP($B79,'Dermal Exposure'!$A$6:$L$19,4,FALSE))),"--")</f>
        <v>2525.3669909994419</v>
      </c>
      <c r="M79" s="88">
        <f>IFERROR(VLOOKUP($D79,$Y$9:$AB$10,3,FALSE)/IF($D79="Inhalation",IF($J79="Central Tendency",SUMIFS('Inhalation Exposure_8-hr'!$L$6:$L$411,'Inhalation Exposure_8-hr'!$B$6:$B$411,$B79,'Inhalation Exposure_8-hr'!$D$6:$D$411,$C79),SUMIFS('Inhalation Exposure_8-hr'!$M$6:$M$411,'Inhalation Exposure_8-hr'!$B$6:$B$411,$B79,'Inhalation Exposure_8-hr'!$D$6:$D$411,$C79)),IF($J79="Central Tendency",VLOOKUP($B79,'Dermal Exposure'!$A$6:$L$19,10,FALSE),VLOOKUP($B79,'Dermal Exposure'!$A$6:$L$19,5,FALSE))),"--")</f>
        <v>74.66764061228919</v>
      </c>
      <c r="N79" s="89">
        <f>IFERROR(VLOOKUP($D79,$Y$9:$AB$10,4,FALSE)/IF($D79="Inhalation",IF($J79="Central Tendency",SUMIFS('Inhalation Exposure_8-hr'!$N$6:$N$411,'Inhalation Exposure_8-hr'!$B$6:$B$411,$B79,'Inhalation Exposure_8-hr'!$D$6:$D$411,$C79),SUMIFS('Inhalation Exposure_8-hr'!$O$6:$O$411,'Inhalation Exposure_8-hr'!$B$6:$B$411,$B79,'Inhalation Exposure_8-hr'!$D$6:$D$411,$C79)),IF($J79="Central Tendency",VLOOKUP($B79,'Dermal Exposure'!$A$6:$L$19,11,FALSE),VLOOKUP($B79,'Dermal Exposure'!$A$6:$L$19,6,FALSE))),"--")</f>
        <v>79.944153882224285</v>
      </c>
      <c r="O79" s="91" t="str">
        <f>IFERROR(K79*T79, "--")</f>
        <v>--</v>
      </c>
      <c r="P79" s="91">
        <f>IFERROR(L79*U79, "--")</f>
        <v>25253.66990999442</v>
      </c>
      <c r="Q79" s="91">
        <f>IFERROR(M79*V79, "--")</f>
        <v>746.67640612289188</v>
      </c>
      <c r="R79" s="91">
        <f>IFERROR(N79*W79, "--")</f>
        <v>799.44153882224282</v>
      </c>
      <c r="T79" s="109">
        <v>10</v>
      </c>
      <c r="U79" s="110">
        <v>10</v>
      </c>
      <c r="V79" s="110">
        <v>10</v>
      </c>
      <c r="W79" s="111">
        <v>10</v>
      </c>
    </row>
    <row r="80" spans="2:29" ht="15" thickBot="1" x14ac:dyDescent="0.4">
      <c r="B80" s="82" t="s">
        <v>140</v>
      </c>
      <c r="C80" s="83" t="s">
        <v>68</v>
      </c>
      <c r="D80" s="83" t="s">
        <v>107</v>
      </c>
      <c r="E80" s="98"/>
      <c r="F80" s="98"/>
      <c r="G80" s="112"/>
      <c r="H80" s="100"/>
      <c r="I80" s="113"/>
      <c r="J80" s="113"/>
      <c r="K80" s="103"/>
      <c r="L80" s="103"/>
      <c r="M80" s="103"/>
      <c r="N80" s="104"/>
      <c r="O80" s="105" t="str">
        <f>CONCATENATE("(APF ",T79,")")</f>
        <v>(APF 10)</v>
      </c>
      <c r="P80" s="105" t="str">
        <f>CONCATENATE("(APF ",U79,")")</f>
        <v>(APF 10)</v>
      </c>
      <c r="Q80" s="105" t="str">
        <f>CONCATENATE("(APF ",V79,")")</f>
        <v>(APF 10)</v>
      </c>
      <c r="R80" s="105" t="str">
        <f>CONCATENATE("(APF ",W79,")")</f>
        <v>(APF 10)</v>
      </c>
      <c r="T80" s="114" t="s">
        <v>111</v>
      </c>
      <c r="U80" s="115" t="s">
        <v>111</v>
      </c>
      <c r="V80" s="115" t="s">
        <v>111</v>
      </c>
      <c r="W80" s="116" t="s">
        <v>111</v>
      </c>
    </row>
    <row r="81" spans="2:23" ht="15.75" customHeight="1" thickBot="1" x14ac:dyDescent="0.4">
      <c r="B81" s="82" t="s">
        <v>142</v>
      </c>
      <c r="C81" s="83" t="s">
        <v>68</v>
      </c>
      <c r="D81" s="83" t="s">
        <v>107</v>
      </c>
      <c r="E81" s="98"/>
      <c r="F81" s="98"/>
      <c r="G81" s="85" t="s">
        <v>145</v>
      </c>
      <c r="H81" s="100"/>
      <c r="I81" s="86" t="s">
        <v>110</v>
      </c>
      <c r="J81" s="87" t="s">
        <v>71</v>
      </c>
      <c r="K81" s="88" t="str">
        <f>IFERROR(VLOOKUP($D81,$Y$9:$AB$10,2,FALSE)/IF($D81="Inhalation",IF($J81="Central Tendency",SUMIFS('Inhalation Exposure_Short-Term'!$F$7:$F$397,'Inhalation Exposure_Short-Term'!$B$7:$B$397,$B81,'Inhalation Exposure_Short-Term'!$D$7:$D$397,$C81),SUMIFS('Inhalation Exposure_Short-Term'!$G$7:$G$397,'Inhalation Exposure_Short-Term'!$B$7:$B$397,$B81,'Inhalation Exposure_Short-Term'!$D$7:$D$397,$C81)),IF($J81="Central Tendency",VLOOKUP($B81,'Dermal Exposure'!$A$6:$L$19,9,FALSE),VLOOKUP($B81,'Dermal Exposure'!$A$6:$L$19,4,FALSE))),"--")</f>
        <v>--</v>
      </c>
      <c r="L81" s="88">
        <f>IFERROR(VLOOKUP($D81,$Y$9:$AB$10,2,FALSE)/IF($D81="Inhalation",IF($J81="Central Tendency",SUMIFS('Inhalation Exposure_8-hr'!$H$6:$H$411,'Inhalation Exposure_8-hr'!$B$6:$B$411,$B81,'Inhalation Exposure_8-hr'!$D$6:$D$411,$C81),SUMIFS('Inhalation Exposure_8-hr'!$I$6:$I$411,'Inhalation Exposure_8-hr'!$B$6:$B$411,$B81,'Inhalation Exposure_8-hr'!$D$6:$D$411,$C81)),IF($J81="Central Tendency",VLOOKUP($B81,'Dermal Exposure'!$A$6:$L$19,9,FALSE),VLOOKUP($B81,'Dermal Exposure'!$A$6:$L$19,4,FALSE))),"--")</f>
        <v>159522.53853460378</v>
      </c>
      <c r="M81" s="117">
        <f>IFERROR(VLOOKUP($D81,$Y$9:$AB$10,3,FALSE)/IF($D81="Inhalation",IF($J81="Central Tendency",SUMIFS('Inhalation Exposure_8-hr'!$L$6:$L$411,'Inhalation Exposure_8-hr'!$B$6:$B$411,$B81,'Inhalation Exposure_8-hr'!$D$6:$D$411,$C81),SUMIFS('Inhalation Exposure_8-hr'!$M$6:$M$411,'Inhalation Exposure_8-hr'!$B$6:$B$411,$B81,'Inhalation Exposure_8-hr'!$D$6:$D$411,$C81)),IF($J81="Central Tendency",VLOOKUP($B81,'Dermal Exposure'!$A$6:$L$19,10,FALSE),VLOOKUP($B81,'Dermal Exposure'!$A$6:$L$19,5,FALSE))),"--")</f>
        <v>4716.6101478771079</v>
      </c>
      <c r="N81" s="89">
        <f>IFERROR(VLOOKUP($D81,$Y$9:$AB$10,4,FALSE)/IF($D81="Inhalation",IF($J81="Central Tendency",SUMIFS('Inhalation Exposure_8-hr'!$N$6:$N$411,'Inhalation Exposure_8-hr'!$B$6:$B$411,$B81,'Inhalation Exposure_8-hr'!$D$6:$D$411,$C81),SUMIFS('Inhalation Exposure_8-hr'!$O$6:$O$411,'Inhalation Exposure_8-hr'!$B$6:$B$411,$B81,'Inhalation Exposure_8-hr'!$D$6:$D$411,$C81)),IF($J81="Central Tendency",VLOOKUP($B81,'Dermal Exposure'!$A$6:$L$19,11,FALSE),VLOOKUP($B81,'Dermal Exposure'!$A$6:$L$19,6,FALSE))),"--")</f>
        <v>5049.9172649937564</v>
      </c>
      <c r="O81" s="91" t="str">
        <f>IFERROR(K81*T81, "--")</f>
        <v>--</v>
      </c>
      <c r="P81" s="91">
        <f>IFERROR(L81*U81, "--")</f>
        <v>1595225.3853460378</v>
      </c>
      <c r="Q81" s="91">
        <f>IFERROR(M81*V81, "--")</f>
        <v>47166.101478771081</v>
      </c>
      <c r="R81" s="91">
        <f>IFERROR(N81*W81, "--")</f>
        <v>252495.86324968783</v>
      </c>
      <c r="T81" s="92">
        <v>10</v>
      </c>
      <c r="U81" s="93">
        <v>10</v>
      </c>
      <c r="V81" s="93">
        <v>10</v>
      </c>
      <c r="W81" s="94">
        <v>50</v>
      </c>
    </row>
    <row r="82" spans="2:23" ht="15" thickBot="1" x14ac:dyDescent="0.4">
      <c r="B82" s="82" t="s">
        <v>142</v>
      </c>
      <c r="C82" s="83" t="s">
        <v>68</v>
      </c>
      <c r="D82" s="83" t="s">
        <v>107</v>
      </c>
      <c r="E82" s="98"/>
      <c r="F82" s="98"/>
      <c r="G82" s="99"/>
      <c r="H82" s="100"/>
      <c r="I82" s="101"/>
      <c r="J82" s="102"/>
      <c r="K82" s="103"/>
      <c r="L82" s="103"/>
      <c r="M82" s="103"/>
      <c r="N82" s="104"/>
      <c r="O82" s="105" t="str">
        <f>CONCATENATE("(APF ",T81,")")</f>
        <v>(APF 10)</v>
      </c>
      <c r="P82" s="105" t="str">
        <f>CONCATENATE("(APF ",U81,")")</f>
        <v>(APF 10)</v>
      </c>
      <c r="Q82" s="105" t="str">
        <f>CONCATENATE("(APF ",V81,")")</f>
        <v>(APF 10)</v>
      </c>
      <c r="R82" s="105" t="str">
        <f>CONCATENATE("(APF ",W81,")")</f>
        <v>(APF 50)</v>
      </c>
      <c r="T82" s="106" t="s">
        <v>111</v>
      </c>
      <c r="U82" s="107" t="s">
        <v>111</v>
      </c>
      <c r="V82" s="107" t="s">
        <v>111</v>
      </c>
      <c r="W82" s="108" t="s">
        <v>111</v>
      </c>
    </row>
    <row r="83" spans="2:23" ht="15" thickBot="1" x14ac:dyDescent="0.4">
      <c r="B83" s="82" t="s">
        <v>142</v>
      </c>
      <c r="C83" s="83" t="s">
        <v>68</v>
      </c>
      <c r="D83" s="83" t="s">
        <v>107</v>
      </c>
      <c r="E83" s="98"/>
      <c r="F83" s="98"/>
      <c r="G83" s="99"/>
      <c r="H83" s="100"/>
      <c r="I83" s="101"/>
      <c r="J83" s="87" t="s">
        <v>112</v>
      </c>
      <c r="K83" s="88" t="str">
        <f>IFERROR(VLOOKUP($D83,$Y$9:$AB$10,2,FALSE)/IF($D83="Inhalation",IF($J83="Central Tendency",SUMIFS('Inhalation Exposure_Short-Term'!$F$7:$F$397,'Inhalation Exposure_Short-Term'!$B$7:$B$397,$B83,'Inhalation Exposure_Short-Term'!$D$7:$D$397,$C83),SUMIFS('Inhalation Exposure_Short-Term'!$G$7:$G$397,'Inhalation Exposure_Short-Term'!$B$7:$B$397,$B83,'Inhalation Exposure_Short-Term'!$D$7:$D$397,$C83)),IF($J83="Central Tendency",VLOOKUP($B83,'Dermal Exposure'!$A$6:$L$19,9,FALSE),VLOOKUP($B83,'Dermal Exposure'!$A$6:$L$19,4,FALSE))),"--")</f>
        <v>--</v>
      </c>
      <c r="L83" s="88">
        <f>IFERROR(VLOOKUP($D83,$Y$9:$AB$10,2,FALSE)/IF($D83="Inhalation",IF($J83="Central Tendency",SUMIFS('Inhalation Exposure_8-hr'!$H$6:$H$411,'Inhalation Exposure_8-hr'!$B$6:$B$411,$B83,'Inhalation Exposure_8-hr'!$D$6:$D$411,$C83),SUMIFS('Inhalation Exposure_8-hr'!$I$6:$I$411,'Inhalation Exposure_8-hr'!$B$6:$B$411,$B83,'Inhalation Exposure_8-hr'!$D$6:$D$411,$C83)),IF($J83="Central Tendency",VLOOKUP($B83,'Dermal Exposure'!$A$6:$L$19,9,FALSE),VLOOKUP($B83,'Dermal Exposure'!$A$6:$L$19,4,FALSE))),"--")</f>
        <v>155075.45325153373</v>
      </c>
      <c r="M83" s="88">
        <f>IFERROR(VLOOKUP($D83,$Y$9:$AB$10,3,FALSE)/IF($D83="Inhalation",IF($J83="Central Tendency",SUMIFS('Inhalation Exposure_8-hr'!$L$6:$L$411,'Inhalation Exposure_8-hr'!$B$6:$B$411,$B83,'Inhalation Exposure_8-hr'!$D$6:$D$411,$C83),SUMIFS('Inhalation Exposure_8-hr'!$M$6:$M$411,'Inhalation Exposure_8-hr'!$B$6:$B$411,$B83,'Inhalation Exposure_8-hr'!$D$6:$D$411,$C83)),IF($J83="Central Tendency",VLOOKUP($B83,'Dermal Exposure'!$A$6:$L$19,10,FALSE),VLOOKUP($B83,'Dermal Exposure'!$A$6:$L$19,5,FALSE))),"--")</f>
        <v>4585.1229751723358</v>
      </c>
      <c r="N83" s="89">
        <f>IFERROR(VLOOKUP($D83,$Y$9:$AB$10,4,FALSE)/IF($D83="Inhalation",IF($J83="Central Tendency",SUMIFS('Inhalation Exposure_8-hr'!$N$6:$N$411,'Inhalation Exposure_8-hr'!$B$6:$B$411,$B83,'Inhalation Exposure_8-hr'!$D$6:$D$411,$C83),SUMIFS('Inhalation Exposure_8-hr'!$O$6:$O$411,'Inhalation Exposure_8-hr'!$B$6:$B$411,$B83,'Inhalation Exposure_8-hr'!$D$6:$D$411,$C83)),IF($J83="Central Tendency",VLOOKUP($B83,'Dermal Exposure'!$A$6:$L$19,11,FALSE),VLOOKUP($B83,'Dermal Exposure'!$A$6:$L$19,6,FALSE))),"--")</f>
        <v>4909.1383320845143</v>
      </c>
      <c r="O83" s="91" t="str">
        <f>IFERROR(K83*T83, "--")</f>
        <v>--</v>
      </c>
      <c r="P83" s="91">
        <f>IFERROR(L83*U83, "--")</f>
        <v>1550754.5325153372</v>
      </c>
      <c r="Q83" s="91">
        <f>IFERROR(M83*V83, "--")</f>
        <v>229256.14875861679</v>
      </c>
      <c r="R83" s="91">
        <f>IFERROR(N83*W83, "--")</f>
        <v>245456.91660422573</v>
      </c>
      <c r="T83" s="109">
        <v>10</v>
      </c>
      <c r="U83" s="110">
        <v>10</v>
      </c>
      <c r="V83" s="110">
        <v>50</v>
      </c>
      <c r="W83" s="111">
        <v>50</v>
      </c>
    </row>
    <row r="84" spans="2:23" ht="15" thickBot="1" x14ac:dyDescent="0.4">
      <c r="B84" s="82" t="s">
        <v>142</v>
      </c>
      <c r="C84" s="83" t="s">
        <v>68</v>
      </c>
      <c r="D84" s="83" t="s">
        <v>107</v>
      </c>
      <c r="E84" s="98"/>
      <c r="F84" s="98"/>
      <c r="G84" s="112"/>
      <c r="H84" s="100"/>
      <c r="I84" s="113"/>
      <c r="J84" s="102"/>
      <c r="K84" s="103"/>
      <c r="L84" s="103"/>
      <c r="M84" s="103"/>
      <c r="N84" s="104"/>
      <c r="O84" s="105" t="str">
        <f>CONCATENATE("(APF ",T83,")")</f>
        <v>(APF 10)</v>
      </c>
      <c r="P84" s="105" t="str">
        <f>CONCATENATE("(APF ",U83,")")</f>
        <v>(APF 10)</v>
      </c>
      <c r="Q84" s="105" t="str">
        <f>CONCATENATE("(APF ",V83,")")</f>
        <v>(APF 50)</v>
      </c>
      <c r="R84" s="105" t="str">
        <f>CONCATENATE("(APF ",W83,")")</f>
        <v>(APF 50)</v>
      </c>
      <c r="T84" s="114" t="s">
        <v>111</v>
      </c>
      <c r="U84" s="115" t="s">
        <v>111</v>
      </c>
      <c r="V84" s="115" t="s">
        <v>111</v>
      </c>
      <c r="W84" s="116" t="s">
        <v>111</v>
      </c>
    </row>
    <row r="85" spans="2:23" ht="16.5" customHeight="1" thickBot="1" x14ac:dyDescent="0.4">
      <c r="B85" s="82" t="s">
        <v>144</v>
      </c>
      <c r="C85" s="83" t="s">
        <v>80</v>
      </c>
      <c r="D85" s="83" t="s">
        <v>107</v>
      </c>
      <c r="E85" s="98"/>
      <c r="F85" s="98"/>
      <c r="G85" s="85" t="s">
        <v>459</v>
      </c>
      <c r="H85" s="86" t="s">
        <v>80</v>
      </c>
      <c r="I85" s="86" t="s">
        <v>110</v>
      </c>
      <c r="J85" s="87" t="s">
        <v>71</v>
      </c>
      <c r="K85" s="88" t="str">
        <f>IFERROR(VLOOKUP($D85,$Y$9:$AB$10,2,FALSE)/IF($D85="Inhalation",IF($J85="Central Tendency",SUMIFS('Inhalation Exposure_Short-Term'!$F$7:$F$397,'Inhalation Exposure_Short-Term'!$B$7:$B$397,$B85,'Inhalation Exposure_Short-Term'!$D$7:$D$397,$C85),SUMIFS('Inhalation Exposure_Short-Term'!$G$7:$G$397,'Inhalation Exposure_Short-Term'!$B$7:$B$397,$B85,'Inhalation Exposure_Short-Term'!$D$7:$D$397,$C85)),IF($J85="Central Tendency",VLOOKUP($B85,'Dermal Exposure'!$A$6:$L$19,9,FALSE),VLOOKUP($B85,'Dermal Exposure'!$A$6:$L$19,4,FALSE))),"--")</f>
        <v>--</v>
      </c>
      <c r="L85" s="88">
        <f>IFERROR(VLOOKUP($D85,$Y$9:$AB$10,2,FALSE)/IF($D85="Inhalation",IF($J85="Central Tendency",SUMIFS('Inhalation Exposure_8-hr'!$H$6:$H$411,'Inhalation Exposure_8-hr'!$B$6:$B$411,$B85,'Inhalation Exposure_8-hr'!$D$6:$D$411,$C85),SUMIFS('Inhalation Exposure_8-hr'!$I$6:$I$411,'Inhalation Exposure_8-hr'!$B$6:$B$411,$B85,'Inhalation Exposure_8-hr'!$D$6:$D$411,$C85)),IF($J85="Central Tendency",VLOOKUP($B85,'Dermal Exposure'!$A$6:$L$19,9,FALSE),VLOOKUP($B85,'Dermal Exposure'!$A$6:$L$19,4,FALSE))),"--")</f>
        <v>114683.70728834355</v>
      </c>
      <c r="M85" s="88">
        <f>IFERROR(VLOOKUP($D85,$Y$9:$AB$10,3,FALSE)/IF($D85="Inhalation",IF($J85="Central Tendency",SUMIFS('Inhalation Exposure_8-hr'!$L$6:$L$411,'Inhalation Exposure_8-hr'!$B$6:$B$411,$B85,'Inhalation Exposure_8-hr'!$D$6:$D$411,$C85),SUMIFS('Inhalation Exposure_8-hr'!$M$6:$M$411,'Inhalation Exposure_8-hr'!$B$6:$B$411,$B85,'Inhalation Exposure_8-hr'!$D$6:$D$411,$C85)),IF($J85="Central Tendency",VLOOKUP($B85,'Dermal Exposure'!$A$6:$L$19,10,FALSE),VLOOKUP($B85,'Dermal Exposure'!$A$6:$L$19,5,FALSE))),"--")</f>
        <v>3390.8583862902397</v>
      </c>
      <c r="N85" s="89">
        <f>IFERROR(VLOOKUP($D85,$Y$9:$AB$10,4,FALSE)/IF($D85="Inhalation",IF($J85="Central Tendency",SUMIFS('Inhalation Exposure_8-hr'!$N$6:$N$411,'Inhalation Exposure_8-hr'!$B$6:$B$411,$B85,'Inhalation Exposure_8-hr'!$D$6:$D$411,$C85),SUMIFS('Inhalation Exposure_8-hr'!$O$6:$O$411,'Inhalation Exposure_8-hr'!$B$6:$B$411,$B85,'Inhalation Exposure_8-hr'!$D$6:$D$411,$C85)),IF($J85="Central Tendency",VLOOKUP($B85,'Dermal Exposure'!$A$6:$L$19,11,FALSE),VLOOKUP($B85,'Dermal Exposure'!$A$6:$L$19,6,FALSE))),"--")</f>
        <v>3630.4790455880839</v>
      </c>
      <c r="O85" s="91" t="str">
        <f>IFERROR(K85*T85, "--")</f>
        <v>--</v>
      </c>
      <c r="P85" s="91">
        <f>IFERROR(L85*U85, "--")</f>
        <v>1146837.0728834355</v>
      </c>
      <c r="Q85" s="91">
        <f>IFERROR(M85*V85, "--")</f>
        <v>33908.583862902393</v>
      </c>
      <c r="R85" s="91">
        <f>IFERROR(N85*W85, "--")</f>
        <v>36304.790455880837</v>
      </c>
      <c r="T85" s="92">
        <v>10</v>
      </c>
      <c r="U85" s="93">
        <v>10</v>
      </c>
      <c r="V85" s="93">
        <v>10</v>
      </c>
      <c r="W85" s="94">
        <v>10</v>
      </c>
    </row>
    <row r="86" spans="2:23" ht="15" thickBot="1" x14ac:dyDescent="0.4">
      <c r="B86" s="82" t="s">
        <v>144</v>
      </c>
      <c r="C86" s="83" t="s">
        <v>80</v>
      </c>
      <c r="D86" s="83" t="s">
        <v>107</v>
      </c>
      <c r="E86" s="98"/>
      <c r="F86" s="98"/>
      <c r="G86" s="99"/>
      <c r="H86" s="100"/>
      <c r="I86" s="101"/>
      <c r="J86" s="102"/>
      <c r="K86" s="103"/>
      <c r="L86" s="103"/>
      <c r="M86" s="103"/>
      <c r="N86" s="104"/>
      <c r="O86" s="105" t="str">
        <f>CONCATENATE("(APF ",T85,")")</f>
        <v>(APF 10)</v>
      </c>
      <c r="P86" s="105" t="str">
        <f>CONCATENATE("(APF ",U85,")")</f>
        <v>(APF 10)</v>
      </c>
      <c r="Q86" s="105" t="str">
        <f>CONCATENATE("(APF ",V85,")")</f>
        <v>(APF 10)</v>
      </c>
      <c r="R86" s="105" t="str">
        <f>CONCATENATE("(APF ",W85,")")</f>
        <v>(APF 10)</v>
      </c>
      <c r="T86" s="106" t="s">
        <v>111</v>
      </c>
      <c r="U86" s="107" t="s">
        <v>111</v>
      </c>
      <c r="V86" s="107" t="s">
        <v>111</v>
      </c>
      <c r="W86" s="108" t="s">
        <v>111</v>
      </c>
    </row>
    <row r="87" spans="2:23" ht="15" thickBot="1" x14ac:dyDescent="0.4">
      <c r="B87" s="82" t="s">
        <v>144</v>
      </c>
      <c r="C87" s="83" t="s">
        <v>80</v>
      </c>
      <c r="D87" s="83" t="s">
        <v>107</v>
      </c>
      <c r="E87" s="98"/>
      <c r="F87" s="98"/>
      <c r="G87" s="99"/>
      <c r="H87" s="100"/>
      <c r="I87" s="101"/>
      <c r="J87" s="87" t="s">
        <v>112</v>
      </c>
      <c r="K87" s="88" t="str">
        <f>IFERROR(VLOOKUP($D87,$Y$9:$AB$10,2,FALSE)/IF($D87="Inhalation",IF($J87="Central Tendency",SUMIFS('Inhalation Exposure_Short-Term'!$F$7:$F$397,'Inhalation Exposure_Short-Term'!$B$7:$B$397,$B87,'Inhalation Exposure_Short-Term'!$D$7:$D$397,$C87),SUMIFS('Inhalation Exposure_Short-Term'!$G$7:$G$397,'Inhalation Exposure_Short-Term'!$B$7:$B$397,$B87,'Inhalation Exposure_Short-Term'!$D$7:$D$397,$C87)),IF($J87="Central Tendency",VLOOKUP($B87,'Dermal Exposure'!$A$6:$L$19,9,FALSE),VLOOKUP($B87,'Dermal Exposure'!$A$6:$L$19,4,FALSE))),"--")</f>
        <v>--</v>
      </c>
      <c r="L87" s="88">
        <f>IFERROR(VLOOKUP($D87,$Y$9:$AB$10,2,FALSE)/IF($D87="Inhalation",IF($J87="Central Tendency",SUMIFS('Inhalation Exposure_8-hr'!$H$6:$H$411,'Inhalation Exposure_8-hr'!$B$6:$B$411,$B87,'Inhalation Exposure_8-hr'!$D$6:$D$411,$C87),SUMIFS('Inhalation Exposure_8-hr'!$I$6:$I$411,'Inhalation Exposure_8-hr'!$B$6:$B$411,$B87,'Inhalation Exposure_8-hr'!$D$6:$D$411,$C87)),IF($J87="Central Tendency",VLOOKUP($B87,'Dermal Exposure'!$A$6:$L$19,9,FALSE),VLOOKUP($B87,'Dermal Exposure'!$A$6:$L$19,4,FALSE))),"--")</f>
        <v>13394.683026585015</v>
      </c>
      <c r="M87" s="88">
        <f>IFERROR(VLOOKUP($D87,$Y$9:$AB$10,3,FALSE)/IF($D87="Inhalation",IF($J87="Central Tendency",SUMIFS('Inhalation Exposure_8-hr'!$L$6:$L$411,'Inhalation Exposure_8-hr'!$B$6:$B$411,$B87,'Inhalation Exposure_8-hr'!$D$6:$D$411,$C87),SUMIFS('Inhalation Exposure_8-hr'!$M$6:$M$411,'Inhalation Exposure_8-hr'!$B$6:$B$411,$B87,'Inhalation Exposure_8-hr'!$D$6:$D$411,$C87)),IF($J87="Central Tendency",VLOOKUP($B87,'Dermal Exposure'!$A$6:$L$19,10,FALSE),VLOOKUP($B87,'Dermal Exposure'!$A$6:$L$19,5,FALSE))),"--")</f>
        <v>396.04120189626758</v>
      </c>
      <c r="N87" s="89">
        <f>IFERROR(VLOOKUP($D87,$Y$9:$AB$10,4,FALSE)/IF($D87="Inhalation",IF($J87="Central Tendency",SUMIFS('Inhalation Exposure_8-hr'!$N$6:$N$411,'Inhalation Exposure_8-hr'!$B$6:$B$411,$B87,'Inhalation Exposure_8-hr'!$D$6:$D$411,$C87),SUMIFS('Inhalation Exposure_8-hr'!$O$6:$O$411,'Inhalation Exposure_8-hr'!$B$6:$B$411,$B87,'Inhalation Exposure_8-hr'!$D$6:$D$411,$C87)),IF($J87="Central Tendency",VLOOKUP($B87,'Dermal Exposure'!$A$6:$L$19,11,FALSE),VLOOKUP($B87,'Dermal Exposure'!$A$6:$L$19,6,FALSE))),"--")</f>
        <v>424.02811349693718</v>
      </c>
      <c r="O87" s="91" t="str">
        <f>IFERROR(K87*T87, "--")</f>
        <v>--</v>
      </c>
      <c r="P87" s="91">
        <f>IFERROR(L87*U87, "--")</f>
        <v>133946.83026585015</v>
      </c>
      <c r="Q87" s="91">
        <f>IFERROR(M87*V87, "--")</f>
        <v>3960.4120189626756</v>
      </c>
      <c r="R87" s="91">
        <f>IFERROR(N87*W87, "--")</f>
        <v>4240.281134969372</v>
      </c>
      <c r="T87" s="109">
        <v>10</v>
      </c>
      <c r="U87" s="110">
        <v>10</v>
      </c>
      <c r="V87" s="110">
        <v>10</v>
      </c>
      <c r="W87" s="111">
        <v>10</v>
      </c>
    </row>
    <row r="88" spans="2:23" ht="15" thickBot="1" x14ac:dyDescent="0.4">
      <c r="B88" s="82" t="s">
        <v>144</v>
      </c>
      <c r="C88" s="83" t="s">
        <v>80</v>
      </c>
      <c r="D88" s="83" t="s">
        <v>107</v>
      </c>
      <c r="E88" s="98"/>
      <c r="F88" s="98"/>
      <c r="G88" s="112"/>
      <c r="H88" s="118"/>
      <c r="I88" s="113"/>
      <c r="J88" s="102"/>
      <c r="K88" s="103"/>
      <c r="L88" s="103"/>
      <c r="M88" s="103"/>
      <c r="N88" s="104"/>
      <c r="O88" s="105" t="str">
        <f>CONCATENATE("(APF ",T87,")")</f>
        <v>(APF 10)</v>
      </c>
      <c r="P88" s="105" t="str">
        <f>CONCATENATE("(APF ",U87,")")</f>
        <v>(APF 10)</v>
      </c>
      <c r="Q88" s="105" t="str">
        <f>CONCATENATE("(APF ",V87,")")</f>
        <v>(APF 10)</v>
      </c>
      <c r="R88" s="105" t="str">
        <f>CONCATENATE("(APF ",W87,")")</f>
        <v>(APF 10)</v>
      </c>
      <c r="T88" s="114" t="s">
        <v>111</v>
      </c>
      <c r="U88" s="115" t="s">
        <v>111</v>
      </c>
      <c r="V88" s="115" t="s">
        <v>111</v>
      </c>
      <c r="W88" s="116" t="s">
        <v>111</v>
      </c>
    </row>
    <row r="89" spans="2:23" ht="15.75" customHeight="1" thickBot="1" x14ac:dyDescent="0.4">
      <c r="B89" s="82" t="s">
        <v>146</v>
      </c>
      <c r="C89" s="83" t="s">
        <v>68</v>
      </c>
      <c r="D89" s="83" t="s">
        <v>107</v>
      </c>
      <c r="E89" s="98"/>
      <c r="F89" s="98"/>
      <c r="G89" s="99" t="s">
        <v>518</v>
      </c>
      <c r="H89" s="86" t="s">
        <v>68</v>
      </c>
      <c r="I89" s="86" t="s">
        <v>110</v>
      </c>
      <c r="J89" s="87" t="s">
        <v>71</v>
      </c>
      <c r="K89" s="88">
        <f>IFERROR(VLOOKUP($D89,$Y$9:$AB$10,2,FALSE)/IF($D89="Inhalation",IF($J89="Central Tendency",SUMIFS('Inhalation Exposure_Short-Term'!$F$7:$F$397,'Inhalation Exposure_Short-Term'!$B$7:$B$397,$B89,'Inhalation Exposure_Short-Term'!$D$7:$D$397,$C89),SUMIFS('Inhalation Exposure_Short-Term'!$G$7:$G$397,'Inhalation Exposure_Short-Term'!$B$7:$B$397,$B89,'Inhalation Exposure_Short-Term'!$D$7:$D$397,$C89)),IF($J89="Central Tendency",VLOOKUP($B89,'Dermal Exposure'!$A$6:$L$19,9,FALSE),VLOOKUP($B89,'Dermal Exposure'!$A$6:$L$19,4,FALSE))),"--")</f>
        <v>6.7777944037109084</v>
      </c>
      <c r="L89" s="88" t="str">
        <f>IFERROR(VLOOKUP($D89,$Y$9:$AB$10,2,FALSE)/IF($D89="Inhalation",IF($J89="Central Tendency",SUMIFS('Inhalation Exposure_8-hr'!$H$6:$H$411,'Inhalation Exposure_8-hr'!$B$6:$B$411,$B89,'Inhalation Exposure_8-hr'!$D$6:$D$411,$C89),SUMIFS('Inhalation Exposure_8-hr'!$I$6:$I$411,'Inhalation Exposure_8-hr'!$B$6:$B$411,$B89,'Inhalation Exposure_8-hr'!$D$6:$D$411,$C89)),IF($J89="Central Tendency",VLOOKUP($B89,'Dermal Exposure'!$A$6:$L$19,9,FALSE),VLOOKUP($B89,'Dermal Exposure'!$A$6:$L$19,4,FALSE))),"--")</f>
        <v>--</v>
      </c>
      <c r="M89" s="88" t="str">
        <f>IFERROR(VLOOKUP($D89,$Y$9:$AB$10,3,FALSE)/IF($D89="Inhalation",IF($J89="Central Tendency",SUMIFS('Inhalation Exposure_8-hr'!$L$6:$L$411,'Inhalation Exposure_8-hr'!$B$6:$B$411,$B89,'Inhalation Exposure_8-hr'!$D$6:$D$411,$C89),SUMIFS('Inhalation Exposure_8-hr'!$M$6:$M$411,'Inhalation Exposure_8-hr'!$B$6:$B$411,$B89,'Inhalation Exposure_8-hr'!$D$6:$D$411,$C89)),IF($J89="Central Tendency",VLOOKUP($B89,'Dermal Exposure'!$A$6:$L$19,10,FALSE),VLOOKUP($B89,'Dermal Exposure'!$A$6:$L$19,5,FALSE))),"--")</f>
        <v>--</v>
      </c>
      <c r="N89" s="89" t="str">
        <f>IFERROR(VLOOKUP($D89,$Y$9:$AB$10,4,FALSE)/IF($D89="Inhalation",IF($J89="Central Tendency",SUMIFS('Inhalation Exposure_8-hr'!$N$6:$N$411,'Inhalation Exposure_8-hr'!$B$6:$B$411,$B89,'Inhalation Exposure_8-hr'!$D$6:$D$411,$C89),SUMIFS('Inhalation Exposure_8-hr'!$O$6:$O$411,'Inhalation Exposure_8-hr'!$B$6:$B$411,$B89,'Inhalation Exposure_8-hr'!$D$6:$D$411,$C89)),IF($J89="Central Tendency",VLOOKUP($B89,'Dermal Exposure'!$A$6:$L$19,11,FALSE),VLOOKUP($B89,'Dermal Exposure'!$A$6:$L$19,6,FALSE))),"--")</f>
        <v>--</v>
      </c>
      <c r="O89" s="91">
        <f>IFERROR(K89*T89, "--")</f>
        <v>67.77794403710908</v>
      </c>
      <c r="P89" s="91" t="str">
        <f>IFERROR(L89*U89, "--")</f>
        <v>--</v>
      </c>
      <c r="Q89" s="91" t="str">
        <f>IFERROR(M89*V89, "--")</f>
        <v>--</v>
      </c>
      <c r="R89" s="91" t="str">
        <f>IFERROR(N89*W89, "--")</f>
        <v>--</v>
      </c>
      <c r="T89" s="92">
        <v>10</v>
      </c>
      <c r="U89" s="93">
        <v>10</v>
      </c>
      <c r="V89" s="93">
        <v>10</v>
      </c>
      <c r="W89" s="94">
        <v>10</v>
      </c>
    </row>
    <row r="90" spans="2:23" ht="15" thickBot="1" x14ac:dyDescent="0.4">
      <c r="B90" s="82" t="s">
        <v>146</v>
      </c>
      <c r="C90" s="83" t="s">
        <v>68</v>
      </c>
      <c r="D90" s="83" t="s">
        <v>107</v>
      </c>
      <c r="E90" s="98"/>
      <c r="F90" s="98"/>
      <c r="G90" s="99"/>
      <c r="H90" s="100"/>
      <c r="I90" s="101"/>
      <c r="J90" s="102"/>
      <c r="K90" s="103"/>
      <c r="L90" s="103"/>
      <c r="M90" s="103"/>
      <c r="N90" s="104"/>
      <c r="O90" s="105" t="str">
        <f>CONCATENATE("(APF ",T89,")")</f>
        <v>(APF 10)</v>
      </c>
      <c r="P90" s="105" t="str">
        <f>CONCATENATE("(APF ",U89,")")</f>
        <v>(APF 10)</v>
      </c>
      <c r="Q90" s="105" t="str">
        <f>CONCATENATE("(APF ",V89,")")</f>
        <v>(APF 10)</v>
      </c>
      <c r="R90" s="105" t="str">
        <f>CONCATENATE("(APF ",W89,")")</f>
        <v>(APF 10)</v>
      </c>
      <c r="T90" s="106" t="s">
        <v>111</v>
      </c>
      <c r="U90" s="107" t="s">
        <v>111</v>
      </c>
      <c r="V90" s="107" t="s">
        <v>111</v>
      </c>
      <c r="W90" s="108" t="s">
        <v>111</v>
      </c>
    </row>
    <row r="91" spans="2:23" ht="15" thickBot="1" x14ac:dyDescent="0.4">
      <c r="B91" s="82" t="s">
        <v>146</v>
      </c>
      <c r="C91" s="83" t="s">
        <v>68</v>
      </c>
      <c r="D91" s="83" t="s">
        <v>107</v>
      </c>
      <c r="E91" s="98"/>
      <c r="F91" s="98"/>
      <c r="G91" s="99"/>
      <c r="H91" s="100"/>
      <c r="I91" s="101"/>
      <c r="J91" s="87" t="s">
        <v>112</v>
      </c>
      <c r="K91" s="88">
        <f>IFERROR(VLOOKUP($D91,$Y$9:$AB$10,2,FALSE)/IF($D91="Inhalation",IF($J91="Central Tendency",SUMIFS('Inhalation Exposure_Short-Term'!$F$7:$F$397,'Inhalation Exposure_Short-Term'!$B$7:$B$397,$B91,'Inhalation Exposure_Short-Term'!$D$7:$D$397,$C91),SUMIFS('Inhalation Exposure_Short-Term'!$G$7:$G$397,'Inhalation Exposure_Short-Term'!$B$7:$B$397,$B91,'Inhalation Exposure_Short-Term'!$D$7:$D$397,$C91)),IF($J91="Central Tendency",VLOOKUP($B91,'Dermal Exposure'!$A$6:$L$19,9,FALSE),VLOOKUP($B91,'Dermal Exposure'!$A$6:$L$19,4,FALSE))),"--")</f>
        <v>4.2555830099869416</v>
      </c>
      <c r="L91" s="88" t="str">
        <f>IFERROR(VLOOKUP($D91,$Y$9:$AB$10,2,FALSE)/IF($D91="Inhalation",IF($J91="Central Tendency",SUMIFS('Inhalation Exposure_8-hr'!$H$6:$H$411,'Inhalation Exposure_8-hr'!$B$6:$B$411,$B91,'Inhalation Exposure_8-hr'!$D$6:$D$411,$C91),SUMIFS('Inhalation Exposure_8-hr'!$I$6:$I$411,'Inhalation Exposure_8-hr'!$B$6:$B$411,$B91,'Inhalation Exposure_8-hr'!$D$6:$D$411,$C91)),IF($J91="Central Tendency",VLOOKUP($B91,'Dermal Exposure'!$A$6:$L$19,9,FALSE),VLOOKUP($B91,'Dermal Exposure'!$A$6:$L$19,4,FALSE))),"--")</f>
        <v>--</v>
      </c>
      <c r="M91" s="88" t="str">
        <f>IFERROR(VLOOKUP($D91,$Y$9:$AB$10,3,FALSE)/IF($D91="Inhalation",IF($J91="Central Tendency",SUMIFS('Inhalation Exposure_8-hr'!$L$6:$L$411,'Inhalation Exposure_8-hr'!$B$6:$B$411,$B91,'Inhalation Exposure_8-hr'!$D$6:$D$411,$C91),SUMIFS('Inhalation Exposure_8-hr'!$M$6:$M$411,'Inhalation Exposure_8-hr'!$B$6:$B$411,$B91,'Inhalation Exposure_8-hr'!$D$6:$D$411,$C91)),IF($J91="Central Tendency",VLOOKUP($B91,'Dermal Exposure'!$A$6:$L$19,10,FALSE),VLOOKUP($B91,'Dermal Exposure'!$A$6:$L$19,5,FALSE))),"--")</f>
        <v>--</v>
      </c>
      <c r="N91" s="89" t="str">
        <f>IFERROR(VLOOKUP($D91,$Y$9:$AB$10,4,FALSE)/IF($D91="Inhalation",IF($J91="Central Tendency",SUMIFS('Inhalation Exposure_8-hr'!$N$6:$N$411,'Inhalation Exposure_8-hr'!$B$6:$B$411,$B91,'Inhalation Exposure_8-hr'!$D$6:$D$411,$C91),SUMIFS('Inhalation Exposure_8-hr'!$O$6:$O$411,'Inhalation Exposure_8-hr'!$B$6:$B$411,$B91,'Inhalation Exposure_8-hr'!$D$6:$D$411,$C91)),IF($J91="Central Tendency",VLOOKUP($B91,'Dermal Exposure'!$A$6:$L$19,11,FALSE),VLOOKUP($B91,'Dermal Exposure'!$A$6:$L$19,6,FALSE))),"--")</f>
        <v>--</v>
      </c>
      <c r="O91" s="91">
        <f>IFERROR(K91*T91, "--")</f>
        <v>42.555830099869418</v>
      </c>
      <c r="P91" s="91" t="str">
        <f>IFERROR(L91*U91, "--")</f>
        <v>--</v>
      </c>
      <c r="Q91" s="91" t="str">
        <f>IFERROR(M91*V91, "--")</f>
        <v>--</v>
      </c>
      <c r="R91" s="91" t="str">
        <f>IFERROR(N91*W91, "--")</f>
        <v>--</v>
      </c>
      <c r="T91" s="109">
        <v>10</v>
      </c>
      <c r="U91" s="110">
        <v>10</v>
      </c>
      <c r="V91" s="110">
        <v>10</v>
      </c>
      <c r="W91" s="111">
        <v>50</v>
      </c>
    </row>
    <row r="92" spans="2:23" ht="15" thickBot="1" x14ac:dyDescent="0.4">
      <c r="B92" s="82" t="s">
        <v>146</v>
      </c>
      <c r="C92" s="83" t="s">
        <v>68</v>
      </c>
      <c r="D92" s="83" t="s">
        <v>107</v>
      </c>
      <c r="E92" s="98"/>
      <c r="F92" s="98"/>
      <c r="G92" s="112"/>
      <c r="H92" s="100"/>
      <c r="I92" s="113"/>
      <c r="J92" s="102"/>
      <c r="K92" s="103"/>
      <c r="L92" s="103"/>
      <c r="M92" s="103"/>
      <c r="N92" s="104"/>
      <c r="O92" s="105" t="str">
        <f>CONCATENATE("(APF ",T91,")")</f>
        <v>(APF 10)</v>
      </c>
      <c r="P92" s="105" t="str">
        <f>CONCATENATE("(APF ",U91,")")</f>
        <v>(APF 10)</v>
      </c>
      <c r="Q92" s="105" t="str">
        <f>CONCATENATE("(APF ",V91,")")</f>
        <v>(APF 10)</v>
      </c>
      <c r="R92" s="105" t="str">
        <f>CONCATENATE("(APF ",W91,")")</f>
        <v>(APF 50)</v>
      </c>
      <c r="T92" s="114" t="s">
        <v>111</v>
      </c>
      <c r="U92" s="115" t="s">
        <v>111</v>
      </c>
      <c r="V92" s="115" t="s">
        <v>111</v>
      </c>
      <c r="W92" s="116" t="s">
        <v>111</v>
      </c>
    </row>
    <row r="93" spans="2:23" ht="15" thickBot="1" x14ac:dyDescent="0.4">
      <c r="B93" s="82">
        <v>4</v>
      </c>
      <c r="C93" s="83" t="s">
        <v>68</v>
      </c>
      <c r="D93" s="83" t="s">
        <v>58</v>
      </c>
      <c r="E93" s="98"/>
      <c r="F93" s="98"/>
      <c r="G93" s="85" t="s">
        <v>147</v>
      </c>
      <c r="H93" s="100"/>
      <c r="I93" s="101" t="s">
        <v>58</v>
      </c>
      <c r="J93" s="120" t="s">
        <v>71</v>
      </c>
      <c r="K93" s="88" t="s">
        <v>86</v>
      </c>
      <c r="L93" s="88" t="s">
        <v>86</v>
      </c>
      <c r="M93" s="88">
        <f>IFERROR(VLOOKUP($D93,$Y$9:$AB$10,3,FALSE)/IF($D93="Inhalation",IF($J93="Central Tendency",SUMIFS('Inhalation Exposure_8-hr'!$L$6:$L$411,'Inhalation Exposure_8-hr'!$B$6:$B$411,$B93,'Inhalation Exposure_8-hr'!$D$6:$D$411,$C93),SUMIFS('Inhalation Exposure_8-hr'!$M$6:$M$411,'Inhalation Exposure_8-hr'!$B$6:$B$411,$B93,'Inhalation Exposure_8-hr'!$D$6:$D$411,$C93)),IF($J93="Central Tendency",VLOOKUP($B93,'Dermal Exposure'!$A$6:$L$19,5,FALSE),VLOOKUP($B93,'Dermal Exposure'!$A$6:$L$19,10,FALSE))),"--")</f>
        <v>302.16788672730041</v>
      </c>
      <c r="N93" s="89">
        <f>IFERROR(VLOOKUP($D93,$Y$9:$AB$10,4,FALSE)/IF($D93="Inhalation",IF($J93="Central Tendency",SUMIFS('Inhalation Exposure_8-hr'!$N$6:$N$411,'Inhalation Exposure_8-hr'!$B$6:$B$411,$B93,'Inhalation Exposure_8-hr'!$D$6:$D$411,$C93),SUMIFS('Inhalation Exposure_8-hr'!$O$6:$O$411,'Inhalation Exposure_8-hr'!$B$6:$B$411,$B93,'Inhalation Exposure_8-hr'!$D$6:$D$411,$C93)),IF($J93="Central Tendency",VLOOKUP($B93,'Dermal Exposure'!$A$6:$L$19,6,FALSE),VLOOKUP($B93,'Dermal Exposure'!$A$6:$L$19,11,FALSE))),"--")</f>
        <v>323.52108405602962</v>
      </c>
      <c r="O93" s="91" t="str">
        <f>IFERROR(K93*T93, "--")</f>
        <v>--</v>
      </c>
      <c r="P93" s="91" t="str">
        <f>IFERROR(L93*U93, "--")</f>
        <v>--</v>
      </c>
      <c r="Q93" s="91">
        <f>IFERROR(M93*V93, "--")</f>
        <v>1510.839433636502</v>
      </c>
      <c r="R93" s="91">
        <f>IFERROR(N93*W93, "--")</f>
        <v>1617.6054202801481</v>
      </c>
      <c r="T93" s="92">
        <v>5</v>
      </c>
      <c r="U93" s="93">
        <v>5</v>
      </c>
      <c r="V93" s="93">
        <v>5</v>
      </c>
      <c r="W93" s="94">
        <v>5</v>
      </c>
    </row>
    <row r="94" spans="2:23" ht="15" thickBot="1" x14ac:dyDescent="0.4">
      <c r="B94" s="82">
        <v>4</v>
      </c>
      <c r="C94" s="83" t="s">
        <v>68</v>
      </c>
      <c r="D94" s="83" t="s">
        <v>58</v>
      </c>
      <c r="E94" s="98"/>
      <c r="F94" s="98"/>
      <c r="G94" s="99"/>
      <c r="H94" s="100"/>
      <c r="I94" s="101"/>
      <c r="J94" s="120"/>
      <c r="K94" s="103"/>
      <c r="L94" s="103"/>
      <c r="M94" s="103"/>
      <c r="N94" s="104"/>
      <c r="O94" s="105" t="str">
        <f>CONCATENATE("(PF ",T93,")")</f>
        <v>(PF 5)</v>
      </c>
      <c r="P94" s="105" t="str">
        <f>CONCATENATE("(PF ",U93,")")</f>
        <v>(PF 5)</v>
      </c>
      <c r="Q94" s="105" t="str">
        <f>CONCATENATE("(PF ",V93,")")</f>
        <v>(PF 5)</v>
      </c>
      <c r="R94" s="105" t="str">
        <f>CONCATENATE("(PF ",W93,")")</f>
        <v>(PF 5)</v>
      </c>
      <c r="T94" s="106" t="s">
        <v>118</v>
      </c>
      <c r="U94" s="107" t="s">
        <v>118</v>
      </c>
      <c r="V94" s="107" t="s">
        <v>118</v>
      </c>
      <c r="W94" s="108" t="s">
        <v>118</v>
      </c>
    </row>
    <row r="95" spans="2:23" ht="15" thickBot="1" x14ac:dyDescent="0.4">
      <c r="B95" s="82">
        <v>4</v>
      </c>
      <c r="C95" s="83" t="s">
        <v>68</v>
      </c>
      <c r="D95" s="83" t="s">
        <v>58</v>
      </c>
      <c r="E95" s="98"/>
      <c r="F95" s="98"/>
      <c r="G95" s="99"/>
      <c r="H95" s="100"/>
      <c r="I95" s="101"/>
      <c r="J95" s="87" t="s">
        <v>112</v>
      </c>
      <c r="K95" s="88" t="s">
        <v>86</v>
      </c>
      <c r="L95" s="88" t="s">
        <v>86</v>
      </c>
      <c r="M95" s="88">
        <f>IFERROR(VLOOKUP($D95,$Y$9:$AB$10,3,FALSE)/IF($D95="Inhalation",IF($J95="Central Tendency",SUMIFS('Inhalation Exposure_8-hr'!$L$6:$L$411,'Inhalation Exposure_8-hr'!$B$6:$B$411,$B95,'Inhalation Exposure_8-hr'!$D$6:$D$411,$C95),SUMIFS('Inhalation Exposure_8-hr'!$M$6:$M$411,'Inhalation Exposure_8-hr'!$B$6:$B$411,$B95,'Inhalation Exposure_8-hr'!$D$6:$D$411,$C95)),IF($J95="Central Tendency",VLOOKUP($B95,'Dermal Exposure'!$A$6:$L$19,5,FALSE),VLOOKUP($B95,'Dermal Exposure'!$A$6:$L$19,10,FALSE))),"--")</f>
        <v>108.10087269479301</v>
      </c>
      <c r="N95" s="89">
        <f>IFERROR(VLOOKUP($D95,$Y$9:$AB$10,4,FALSE)/IF($D95="Inhalation",IF($J95="Central Tendency",SUMIFS('Inhalation Exposure_8-hr'!$N$6:$N$411,'Inhalation Exposure_8-hr'!$B$6:$B$411,$B95,'Inhalation Exposure_8-hr'!$D$6:$D$411,$C95),SUMIFS('Inhalation Exposure_8-hr'!$O$6:$O$411,'Inhalation Exposure_8-hr'!$B$6:$B$411,$B95,'Inhalation Exposure_8-hr'!$D$6:$D$411,$C95)),IF($J95="Central Tendency",VLOOKUP($B95,'Dermal Exposure'!$A$6:$L$19,6,FALSE),VLOOKUP($B95,'Dermal Exposure'!$A$6:$L$19,11,FALSE))),"--")</f>
        <v>115.74000103189174</v>
      </c>
      <c r="O95" s="91" t="str">
        <f>IFERROR(K95*T95, "--")</f>
        <v>--</v>
      </c>
      <c r="P95" s="91" t="str">
        <f>IFERROR(L95*U95, "--")</f>
        <v>--</v>
      </c>
      <c r="Q95" s="91">
        <f>IFERROR(M95*V95, "--")</f>
        <v>540.5043634739651</v>
      </c>
      <c r="R95" s="91">
        <f>IFERROR(N95*W95, "--")</f>
        <v>578.70000515945867</v>
      </c>
      <c r="T95" s="109">
        <v>5</v>
      </c>
      <c r="U95" s="110">
        <v>5</v>
      </c>
      <c r="V95" s="110">
        <v>5</v>
      </c>
      <c r="W95" s="111">
        <v>5</v>
      </c>
    </row>
    <row r="96" spans="2:23" ht="15" thickBot="1" x14ac:dyDescent="0.4">
      <c r="B96" s="82">
        <v>4</v>
      </c>
      <c r="C96" s="83" t="s">
        <v>68</v>
      </c>
      <c r="D96" s="83" t="s">
        <v>58</v>
      </c>
      <c r="E96" s="98"/>
      <c r="F96" s="98"/>
      <c r="G96" s="112"/>
      <c r="H96" s="100"/>
      <c r="I96" s="113"/>
      <c r="J96" s="102"/>
      <c r="K96" s="103"/>
      <c r="L96" s="103"/>
      <c r="M96" s="103"/>
      <c r="N96" s="104"/>
      <c r="O96" s="105" t="str">
        <f>CONCATENATE("(PF ",T95,")")</f>
        <v>(PF 5)</v>
      </c>
      <c r="P96" s="105" t="str">
        <f>CONCATENATE("(PF ",U95,")")</f>
        <v>(PF 5)</v>
      </c>
      <c r="Q96" s="105" t="str">
        <f>CONCATENATE("(PF ",V95,")")</f>
        <v>(PF 5)</v>
      </c>
      <c r="R96" s="105" t="str">
        <f>CONCATENATE("(PF ",W95,")")</f>
        <v>(PF 5)</v>
      </c>
      <c r="T96" s="114" t="s">
        <v>118</v>
      </c>
      <c r="U96" s="115" t="s">
        <v>118</v>
      </c>
      <c r="V96" s="115" t="s">
        <v>118</v>
      </c>
      <c r="W96" s="116" t="s">
        <v>118</v>
      </c>
    </row>
    <row r="97" spans="2:23" ht="15.75" customHeight="1" thickBot="1" x14ac:dyDescent="0.4">
      <c r="B97" s="82" t="s">
        <v>460</v>
      </c>
      <c r="C97" s="83" t="s">
        <v>68</v>
      </c>
      <c r="D97" s="83" t="s">
        <v>107</v>
      </c>
      <c r="E97" s="84" t="s">
        <v>149</v>
      </c>
      <c r="F97" s="84" t="s">
        <v>520</v>
      </c>
      <c r="G97" s="85" t="s">
        <v>499</v>
      </c>
      <c r="H97" s="86" t="s">
        <v>68</v>
      </c>
      <c r="I97" s="86" t="s">
        <v>110</v>
      </c>
      <c r="J97" s="87" t="s">
        <v>71</v>
      </c>
      <c r="K97" s="88" t="str">
        <f>IFERROR(VLOOKUP($D97,$Y$9:$AB$10,2,FALSE)/IF($D97="Inhalation",IF($J97="Central Tendency",SUMIFS('Inhalation Exposure_Short-Term'!$F$7:$F$397,'Inhalation Exposure_Short-Term'!$B$7:$B$397,$B97,'Inhalation Exposure_Short-Term'!$D$7:$D$397,$C97),SUMIFS('Inhalation Exposure_Short-Term'!$G$7:$G$397,'Inhalation Exposure_Short-Term'!$B$7:$B$397,$B97,'Inhalation Exposure_Short-Term'!$D$7:$D$397,$C97)),IF($J97="Central Tendency",VLOOKUP($B97,'Dermal Exposure'!$A$6:$L$19,9,FALSE),VLOOKUP($B97,'Dermal Exposure'!$A$6:$L$19,4,FALSE))),"--")</f>
        <v>--</v>
      </c>
      <c r="L97" s="88">
        <f>IFERROR(VLOOKUP($D97,$Y$9:$AB$10,2,FALSE)/IF($D97="Inhalation",IF($J97="Central Tendency",SUMIFS('Inhalation Exposure_8-hr'!$H$6:$H$411,'Inhalation Exposure_8-hr'!$B$6:$B$411,$B97,'Inhalation Exposure_8-hr'!$D$6:$D$411,$C97),SUMIFS('Inhalation Exposure_8-hr'!$I$6:$I$411,'Inhalation Exposure_8-hr'!$B$6:$B$411,$B97,'Inhalation Exposure_8-hr'!$D$6:$D$411,$C97)),IF($J97="Central Tendency",VLOOKUP($B97,'Dermal Exposure'!$A$6:$L$19,9,FALSE),VLOOKUP($B97,'Dermal Exposure'!$A$6:$L$19,4,FALSE))),"--")</f>
        <v>29.825907055082521</v>
      </c>
      <c r="M97" s="88">
        <f>IFERROR(VLOOKUP($D97,$Y$9:$AB$10,3,FALSE)/IF($D97="Inhalation",IF($J97="Central Tendency",SUMIFS('Inhalation Exposure_8-hr'!$L$6:$L$411,'Inhalation Exposure_8-hr'!$B$6:$B$411,$B97,'Inhalation Exposure_8-hr'!$D$6:$D$411,$C97),SUMIFS('Inhalation Exposure_8-hr'!$M$6:$M$411,'Inhalation Exposure_8-hr'!$B$6:$B$411,$B97,'Inhalation Exposure_8-hr'!$D$6:$D$411,$C97)),IF($J97="Central Tendency",VLOOKUP($B97,'Dermal Exposure'!$A$6:$L$19,10,FALSE),VLOOKUP($B97,'Dermal Exposure'!$A$6:$L$19,5,FALSE))),"--")</f>
        <v>0.88186394962067305</v>
      </c>
      <c r="N97" s="89">
        <f>IFERROR(VLOOKUP($D97,$Y$9:$AB$10,4,FALSE)/IF($D97="Inhalation",IF($J97="Central Tendency",SUMIFS('Inhalation Exposure_8-hr'!$N$6:$N$411,'Inhalation Exposure_8-hr'!$B$6:$B$411,$B97,'Inhalation Exposure_8-hr'!$D$6:$D$411,$C97),SUMIFS('Inhalation Exposure_8-hr'!$O$6:$O$411,'Inhalation Exposure_8-hr'!$B$6:$B$411,$B97,'Inhalation Exposure_8-hr'!$D$6:$D$411,$C97)),IF($J97="Central Tendency",VLOOKUP($B97,'Dermal Exposure'!$A$6:$L$19,11,FALSE),VLOOKUP($B97,'Dermal Exposure'!$A$6:$L$19,6,FALSE))),"--")</f>
        <v>0.94418233539386709</v>
      </c>
      <c r="O97" s="91" t="str">
        <f>IFERROR(K97*T97, "--")</f>
        <v>--</v>
      </c>
      <c r="P97" s="91">
        <f>IFERROR(L97*U97, "--")</f>
        <v>298.25907055082519</v>
      </c>
      <c r="Q97" s="91">
        <f>IFERROR(M97*V97, "--")</f>
        <v>8.81863949620673</v>
      </c>
      <c r="R97" s="91">
        <f>IFERROR(N97*W97, "--")</f>
        <v>9.4418233539386716</v>
      </c>
      <c r="T97" s="92">
        <v>10</v>
      </c>
      <c r="U97" s="93">
        <v>10</v>
      </c>
      <c r="V97" s="93">
        <v>10</v>
      </c>
      <c r="W97" s="94">
        <v>10</v>
      </c>
    </row>
    <row r="98" spans="2:23" ht="15" thickBot="1" x14ac:dyDescent="0.4">
      <c r="B98" s="82" t="s">
        <v>460</v>
      </c>
      <c r="C98" s="83" t="s">
        <v>68</v>
      </c>
      <c r="D98" s="83" t="s">
        <v>107</v>
      </c>
      <c r="E98" s="98"/>
      <c r="F98" s="122"/>
      <c r="G98" s="99"/>
      <c r="H98" s="100"/>
      <c r="I98" s="101"/>
      <c r="J98" s="102"/>
      <c r="K98" s="103"/>
      <c r="L98" s="103"/>
      <c r="M98" s="103"/>
      <c r="N98" s="104"/>
      <c r="O98" s="105" t="str">
        <f>CONCATENATE("(APF ",T97,")")</f>
        <v>(APF 10)</v>
      </c>
      <c r="P98" s="105" t="str">
        <f>CONCATENATE("(APF ",U97,")")</f>
        <v>(APF 10)</v>
      </c>
      <c r="Q98" s="105" t="str">
        <f>CONCATENATE("(APF ",V97,")")</f>
        <v>(APF 10)</v>
      </c>
      <c r="R98" s="105" t="str">
        <f>CONCATENATE("(APF ",W97,")")</f>
        <v>(APF 10)</v>
      </c>
      <c r="T98" s="106" t="s">
        <v>111</v>
      </c>
      <c r="U98" s="107" t="s">
        <v>111</v>
      </c>
      <c r="V98" s="107" t="s">
        <v>111</v>
      </c>
      <c r="W98" s="108" t="s">
        <v>111</v>
      </c>
    </row>
    <row r="99" spans="2:23" ht="15" thickBot="1" x14ac:dyDescent="0.4">
      <c r="B99" s="82" t="s">
        <v>460</v>
      </c>
      <c r="C99" s="83" t="s">
        <v>68</v>
      </c>
      <c r="D99" s="83" t="s">
        <v>107</v>
      </c>
      <c r="E99" s="98"/>
      <c r="F99" s="122"/>
      <c r="G99" s="99"/>
      <c r="H99" s="100"/>
      <c r="I99" s="101"/>
      <c r="J99" s="87" t="s">
        <v>112</v>
      </c>
      <c r="K99" s="88" t="str">
        <f>IFERROR(VLOOKUP($D99,$Y$9:$AB$10,2,FALSE)/IF($D99="Inhalation",IF($J99="Central Tendency",SUMIFS('Inhalation Exposure_Short-Term'!$F$7:$F$397,'Inhalation Exposure_Short-Term'!$B$7:$B$397,$B99,'Inhalation Exposure_Short-Term'!$D$7:$D$397,$C99),SUMIFS('Inhalation Exposure_Short-Term'!$G$7:$G$397,'Inhalation Exposure_Short-Term'!$B$7:$B$397,$B99,'Inhalation Exposure_Short-Term'!$D$7:$D$397,$C99)),IF($J99="Central Tendency",VLOOKUP($B99,'Dermal Exposure'!$A$6:$L$19,9,FALSE),VLOOKUP($B99,'Dermal Exposure'!$A$6:$L$19,4,FALSE))),"--")</f>
        <v>--</v>
      </c>
      <c r="L99" s="88">
        <f>IFERROR(VLOOKUP($D99,$Y$9:$AB$10,2,FALSE)/IF($D99="Inhalation",IF($J99="Central Tendency",SUMIFS('Inhalation Exposure_8-hr'!$H$6:$H$411,'Inhalation Exposure_8-hr'!$B$6:$B$411,$B99,'Inhalation Exposure_8-hr'!$D$6:$D$411,$C99),SUMIFS('Inhalation Exposure_8-hr'!$I$6:$I$411,'Inhalation Exposure_8-hr'!$B$6:$B$411,$B99,'Inhalation Exposure_8-hr'!$D$6:$D$411,$C99)),IF($J99="Central Tendency",VLOOKUP($B99,'Dermal Exposure'!$A$6:$L$19,9,FALSE),VLOOKUP($B99,'Dermal Exposure'!$A$6:$L$19,4,FALSE))),"--")</f>
        <v>16.42174962824383</v>
      </c>
      <c r="M99" s="88">
        <f>IFERROR(VLOOKUP($D99,$Y$9:$AB$10,3,FALSE)/IF($D99="Inhalation",IF($J99="Central Tendency",SUMIFS('Inhalation Exposure_8-hr'!$L$6:$L$411,'Inhalation Exposure_8-hr'!$B$6:$B$411,$B99,'Inhalation Exposure_8-hr'!$D$6:$D$411,$C99),SUMIFS('Inhalation Exposure_8-hr'!$M$6:$M$411,'Inhalation Exposure_8-hr'!$B$6:$B$411,$B99,'Inhalation Exposure_8-hr'!$D$6:$D$411,$C99)),IF($J99="Central Tendency",VLOOKUP($B99,'Dermal Exposure'!$A$6:$L$19,10,FALSE),VLOOKUP($B99,'Dermal Exposure'!$A$6:$L$19,5,FALSE))),"--")</f>
        <v>0.48554261770145024</v>
      </c>
      <c r="N99" s="89">
        <f>IFERROR(VLOOKUP($D99,$Y$9:$AB$10,4,FALSE)/IF($D99="Inhalation",IF($J99="Central Tendency",SUMIFS('Inhalation Exposure_8-hr'!$N$6:$N$411,'Inhalation Exposure_8-hr'!$B$6:$B$411,$B99,'Inhalation Exposure_8-hr'!$D$6:$D$411,$C99),SUMIFS('Inhalation Exposure_8-hr'!$O$6:$O$411,'Inhalation Exposure_8-hr'!$B$6:$B$411,$B99,'Inhalation Exposure_8-hr'!$D$6:$D$411,$C99)),IF($J99="Central Tendency",VLOOKUP($B99,'Dermal Exposure'!$A$6:$L$19,11,FALSE),VLOOKUP($B99,'Dermal Exposure'!$A$6:$L$19,6,FALSE))),"--")</f>
        <v>0.51985429601901945</v>
      </c>
      <c r="O99" s="91" t="str">
        <f>IFERROR(K99*T99, "--")</f>
        <v>--</v>
      </c>
      <c r="P99" s="91">
        <f>IFERROR(L99*U99, "--")</f>
        <v>164.2174962824383</v>
      </c>
      <c r="Q99" s="91">
        <f>IFERROR(M99*V99, "--")</f>
        <v>4.8554261770145022</v>
      </c>
      <c r="R99" s="91">
        <f>IFERROR(N99*W99, "--")</f>
        <v>5.1985429601901947</v>
      </c>
      <c r="T99" s="109">
        <v>10</v>
      </c>
      <c r="U99" s="110">
        <v>10</v>
      </c>
      <c r="V99" s="110">
        <v>10</v>
      </c>
      <c r="W99" s="111">
        <v>10</v>
      </c>
    </row>
    <row r="100" spans="2:23" ht="15" thickBot="1" x14ac:dyDescent="0.4">
      <c r="B100" s="82" t="s">
        <v>460</v>
      </c>
      <c r="C100" s="83" t="s">
        <v>68</v>
      </c>
      <c r="D100" s="83" t="s">
        <v>107</v>
      </c>
      <c r="E100" s="98"/>
      <c r="F100" s="122"/>
      <c r="G100" s="112"/>
      <c r="H100" s="100"/>
      <c r="I100" s="113"/>
      <c r="J100" s="102"/>
      <c r="K100" s="103"/>
      <c r="L100" s="103"/>
      <c r="M100" s="103"/>
      <c r="N100" s="104"/>
      <c r="O100" s="105" t="str">
        <f>CONCATENATE("(APF ",T99,")")</f>
        <v>(APF 10)</v>
      </c>
      <c r="P100" s="105" t="str">
        <f>CONCATENATE("(APF ",U99,")")</f>
        <v>(APF 10)</v>
      </c>
      <c r="Q100" s="105" t="str">
        <f>CONCATENATE("(APF ",V99,")")</f>
        <v>(APF 10)</v>
      </c>
      <c r="R100" s="105" t="str">
        <f>CONCATENATE("(APF ",W99,")")</f>
        <v>(APF 10)</v>
      </c>
      <c r="T100" s="114" t="s">
        <v>111</v>
      </c>
      <c r="U100" s="115" t="s">
        <v>111</v>
      </c>
      <c r="V100" s="115" t="s">
        <v>111</v>
      </c>
      <c r="W100" s="116" t="s">
        <v>111</v>
      </c>
    </row>
    <row r="101" spans="2:23" ht="15.75" customHeight="1" thickBot="1" x14ac:dyDescent="0.4">
      <c r="B101" s="82" t="s">
        <v>461</v>
      </c>
      <c r="C101" s="83" t="s">
        <v>68</v>
      </c>
      <c r="D101" s="83" t="s">
        <v>107</v>
      </c>
      <c r="E101" s="98"/>
      <c r="F101" s="122"/>
      <c r="G101" s="85" t="s">
        <v>498</v>
      </c>
      <c r="H101" s="100"/>
      <c r="I101" s="86" t="s">
        <v>110</v>
      </c>
      <c r="J101" s="87" t="s">
        <v>71</v>
      </c>
      <c r="K101" s="88" t="str">
        <f>IFERROR(VLOOKUP($D101,$Y$9:$AB$10,2,FALSE)/IF($D101="Inhalation",IF($J101="Central Tendency",SUMIFS('Inhalation Exposure_Short-Term'!$F$7:$F$397,'Inhalation Exposure_Short-Term'!$B$7:$B$397,$B101,'Inhalation Exposure_Short-Term'!$D$7:$D$397,$C101),SUMIFS('Inhalation Exposure_Short-Term'!$G$7:$G$397,'Inhalation Exposure_Short-Term'!$B$7:$B$397,$B101,'Inhalation Exposure_Short-Term'!$D$7:$D$397,$C101)),IF($J101="Central Tendency",VLOOKUP($B101,'Dermal Exposure'!$A$6:$L$19,9,FALSE),VLOOKUP($B101,'Dermal Exposure'!$A$6:$L$19,4,FALSE))),"--")</f>
        <v>--</v>
      </c>
      <c r="L101" s="88">
        <f>IFERROR(VLOOKUP($D101,$Y$9:$AB$10,2,FALSE)/IF($D101="Inhalation",IF($J101="Central Tendency",SUMIFS('Inhalation Exposure_8-hr'!$H$6:$H$411,'Inhalation Exposure_8-hr'!$B$6:$B$411,$B101,'Inhalation Exposure_8-hr'!$D$6:$D$411,$C101),SUMIFS('Inhalation Exposure_8-hr'!$I$6:$I$411,'Inhalation Exposure_8-hr'!$B$6:$B$411,$B101,'Inhalation Exposure_8-hr'!$D$6:$D$411,$C101)),IF($J101="Central Tendency",VLOOKUP($B101,'Dermal Exposure'!$A$6:$L$19,9,FALSE),VLOOKUP($B101,'Dermal Exposure'!$A$6:$L$19,4,FALSE))),"--")</f>
        <v>1321.6087252897071</v>
      </c>
      <c r="M101" s="88">
        <f>IFERROR(VLOOKUP($D101,$Y$9:$AB$10,3,FALSE)/IF($D101="Inhalation",IF($J101="Central Tendency",SUMIFS('Inhalation Exposure_8-hr'!$L$6:$L$411,'Inhalation Exposure_8-hr'!$B$6:$B$411,$B101,'Inhalation Exposure_8-hr'!$D$6:$D$411,$C101),SUMIFS('Inhalation Exposure_8-hr'!$M$6:$M$411,'Inhalation Exposure_8-hr'!$B$6:$B$411,$B101,'Inhalation Exposure_8-hr'!$D$6:$D$411,$C101)),IF($J101="Central Tendency",VLOOKUP($B101,'Dermal Exposure'!$A$6:$L$19,10,FALSE),VLOOKUP($B101,'Dermal Exposure'!$A$6:$L$19,5,FALSE))),"--")</f>
        <v>39.076065253764646</v>
      </c>
      <c r="N101" s="89">
        <f>IFERROR(VLOOKUP($D101,$Y$9:$AB$10,4,FALSE)/IF($D101="Inhalation",IF($J101="Central Tendency",SUMIFS('Inhalation Exposure_8-hr'!$N$6:$N$411,'Inhalation Exposure_8-hr'!$B$6:$B$411,$B101,'Inhalation Exposure_8-hr'!$D$6:$D$411,$C101),SUMIFS('Inhalation Exposure_8-hr'!$O$6:$O$411,'Inhalation Exposure_8-hr'!$B$6:$B$411,$B101,'Inhalation Exposure_8-hr'!$D$6:$D$411,$C101)),IF($J101="Central Tendency",VLOOKUP($B101,'Dermal Exposure'!$A$6:$L$19,11,FALSE),VLOOKUP($B101,'Dermal Exposure'!$A$6:$L$19,6,FALSE))),"--")</f>
        <v>41.837440531697339</v>
      </c>
      <c r="O101" s="91" t="str">
        <f>IFERROR(K101*T101, "--")</f>
        <v>--</v>
      </c>
      <c r="P101" s="91">
        <f>IFERROR(L101*U101, "--")</f>
        <v>13216.08725289707</v>
      </c>
      <c r="Q101" s="91">
        <f>IFERROR(M101*V101, "--")</f>
        <v>390.76065253764648</v>
      </c>
      <c r="R101" s="91">
        <f>IFERROR(N101*W101, "--")</f>
        <v>418.37440531697337</v>
      </c>
      <c r="T101" s="92">
        <v>10</v>
      </c>
      <c r="U101" s="93">
        <v>10</v>
      </c>
      <c r="V101" s="93">
        <v>10</v>
      </c>
      <c r="W101" s="94">
        <v>10</v>
      </c>
    </row>
    <row r="102" spans="2:23" ht="15" thickBot="1" x14ac:dyDescent="0.4">
      <c r="B102" s="82" t="s">
        <v>461</v>
      </c>
      <c r="C102" s="83" t="s">
        <v>68</v>
      </c>
      <c r="D102" s="83" t="s">
        <v>107</v>
      </c>
      <c r="E102" s="98"/>
      <c r="F102" s="122"/>
      <c r="G102" s="99"/>
      <c r="H102" s="100"/>
      <c r="I102" s="101"/>
      <c r="J102" s="102"/>
      <c r="K102" s="103"/>
      <c r="L102" s="103"/>
      <c r="M102" s="103"/>
      <c r="N102" s="104"/>
      <c r="O102" s="105" t="str">
        <f>CONCATENATE("(APF ",T101,")")</f>
        <v>(APF 10)</v>
      </c>
      <c r="P102" s="105" t="str">
        <f>CONCATENATE("(APF ",U101,")")</f>
        <v>(APF 10)</v>
      </c>
      <c r="Q102" s="105" t="str">
        <f>CONCATENATE("(APF ",V101,")")</f>
        <v>(APF 10)</v>
      </c>
      <c r="R102" s="105" t="str">
        <f>CONCATENATE("(APF ",W101,")")</f>
        <v>(APF 10)</v>
      </c>
      <c r="T102" s="106" t="s">
        <v>111</v>
      </c>
      <c r="U102" s="107" t="s">
        <v>111</v>
      </c>
      <c r="V102" s="107" t="s">
        <v>111</v>
      </c>
      <c r="W102" s="108" t="s">
        <v>111</v>
      </c>
    </row>
    <row r="103" spans="2:23" ht="15" thickBot="1" x14ac:dyDescent="0.4">
      <c r="B103" s="82" t="s">
        <v>461</v>
      </c>
      <c r="C103" s="83" t="s">
        <v>68</v>
      </c>
      <c r="D103" s="83" t="s">
        <v>107</v>
      </c>
      <c r="E103" s="98"/>
      <c r="F103" s="122"/>
      <c r="G103" s="99"/>
      <c r="H103" s="100"/>
      <c r="I103" s="101"/>
      <c r="J103" s="87" t="s">
        <v>112</v>
      </c>
      <c r="K103" s="88" t="str">
        <f>IFERROR(VLOOKUP($D103,$Y$9:$AB$10,2,FALSE)/IF($D103="Inhalation",IF($J103="Central Tendency",SUMIFS('Inhalation Exposure_Short-Term'!$F$7:$F$397,'Inhalation Exposure_Short-Term'!$B$7:$B$397,$B103,'Inhalation Exposure_Short-Term'!$D$7:$D$397,$C103),SUMIFS('Inhalation Exposure_Short-Term'!$G$7:$G$397,'Inhalation Exposure_Short-Term'!$B$7:$B$397,$B103,'Inhalation Exposure_Short-Term'!$D$7:$D$397,$C103)),IF($J103="Central Tendency",VLOOKUP($B103,'Dermal Exposure'!$A$6:$L$19,9,FALSE),VLOOKUP($B103,'Dermal Exposure'!$A$6:$L$19,4,FALSE))),"--")</f>
        <v>--</v>
      </c>
      <c r="L103" s="88">
        <f>IFERROR(VLOOKUP($D103,$Y$9:$AB$10,2,FALSE)/IF($D103="Inhalation",IF($J103="Central Tendency",SUMIFS('Inhalation Exposure_8-hr'!$H$6:$H$411,'Inhalation Exposure_8-hr'!$B$6:$B$411,$B103,'Inhalation Exposure_8-hr'!$D$6:$D$411,$C103),SUMIFS('Inhalation Exposure_8-hr'!$I$6:$I$411,'Inhalation Exposure_8-hr'!$B$6:$B$411,$B103,'Inhalation Exposure_8-hr'!$D$6:$D$411,$C103)),IF($J103="Central Tendency",VLOOKUP($B103,'Dermal Exposure'!$A$6:$L$19,9,FALSE),VLOOKUP($B103,'Dermal Exposure'!$A$6:$L$19,4,FALSE))),"--")</f>
        <v>664.40321338401702</v>
      </c>
      <c r="M103" s="88">
        <f>IFERROR(VLOOKUP($D103,$Y$9:$AB$10,3,FALSE)/IF($D103="Inhalation",IF($J103="Central Tendency",SUMIFS('Inhalation Exposure_8-hr'!$L$6:$L$411,'Inhalation Exposure_8-hr'!$B$6:$B$411,$B103,'Inhalation Exposure_8-hr'!$D$6:$D$411,$C103),SUMIFS('Inhalation Exposure_8-hr'!$M$6:$M$411,'Inhalation Exposure_8-hr'!$B$6:$B$411,$B103,'Inhalation Exposure_8-hr'!$D$6:$D$411,$C103)),IF($J103="Central Tendency",VLOOKUP($B103,'Dermal Exposure'!$A$6:$L$19,10,FALSE),VLOOKUP($B103,'Dermal Exposure'!$A$6:$L$19,5,FALSE))),"--")</f>
        <v>19.644440010271289</v>
      </c>
      <c r="N103" s="89">
        <f>IFERROR(VLOOKUP($D103,$Y$9:$AB$10,4,FALSE)/IF($D103="Inhalation",IF($J103="Central Tendency",SUMIFS('Inhalation Exposure_8-hr'!$N$6:$N$411,'Inhalation Exposure_8-hr'!$B$6:$B$411,$B103,'Inhalation Exposure_8-hr'!$D$6:$D$411,$C103),SUMIFS('Inhalation Exposure_8-hr'!$O$6:$O$411,'Inhalation Exposure_8-hr'!$B$6:$B$411,$B103,'Inhalation Exposure_8-hr'!$D$6:$D$411,$C103)),IF($J103="Central Tendency",VLOOKUP($B103,'Dermal Exposure'!$A$6:$L$19,11,FALSE),VLOOKUP($B103,'Dermal Exposure'!$A$6:$L$19,6,FALSE))),"--")</f>
        <v>21.032647104330465</v>
      </c>
      <c r="O103" s="91" t="str">
        <f>IFERROR(K103*T103, "--")</f>
        <v>--</v>
      </c>
      <c r="P103" s="91">
        <f>IFERROR(L103*U103, "--")</f>
        <v>6644.03213384017</v>
      </c>
      <c r="Q103" s="91">
        <f>IFERROR(M103*V103, "--")</f>
        <v>196.4444001027129</v>
      </c>
      <c r="R103" s="91">
        <f>IFERROR(N103*W103, "--")</f>
        <v>210.32647104330465</v>
      </c>
      <c r="T103" s="109">
        <v>10</v>
      </c>
      <c r="U103" s="110">
        <v>10</v>
      </c>
      <c r="V103" s="110">
        <v>10</v>
      </c>
      <c r="W103" s="111">
        <v>10</v>
      </c>
    </row>
    <row r="104" spans="2:23" ht="15" thickBot="1" x14ac:dyDescent="0.4">
      <c r="B104" s="82" t="s">
        <v>461</v>
      </c>
      <c r="C104" s="83" t="s">
        <v>68</v>
      </c>
      <c r="D104" s="83" t="s">
        <v>107</v>
      </c>
      <c r="E104" s="98"/>
      <c r="F104" s="122"/>
      <c r="G104" s="112"/>
      <c r="H104" s="100"/>
      <c r="I104" s="113"/>
      <c r="J104" s="102"/>
      <c r="K104" s="103"/>
      <c r="L104" s="103"/>
      <c r="M104" s="103"/>
      <c r="N104" s="104"/>
      <c r="O104" s="105" t="str">
        <f>CONCATENATE("(APF ",T103,")")</f>
        <v>(APF 10)</v>
      </c>
      <c r="P104" s="105" t="str">
        <f>CONCATENATE("(APF ",U103,")")</f>
        <v>(APF 10)</v>
      </c>
      <c r="Q104" s="105" t="str">
        <f>CONCATENATE("(APF ",V103,")")</f>
        <v>(APF 10)</v>
      </c>
      <c r="R104" s="105" t="str">
        <f>CONCATENATE("(APF ",W103,")")</f>
        <v>(APF 10)</v>
      </c>
      <c r="T104" s="114" t="s">
        <v>111</v>
      </c>
      <c r="U104" s="115" t="s">
        <v>111</v>
      </c>
      <c r="V104" s="115" t="s">
        <v>111</v>
      </c>
      <c r="W104" s="116" t="s">
        <v>111</v>
      </c>
    </row>
    <row r="105" spans="2:23" ht="15.75" customHeight="1" thickBot="1" x14ac:dyDescent="0.4">
      <c r="B105" s="82" t="s">
        <v>463</v>
      </c>
      <c r="C105" s="83" t="s">
        <v>68</v>
      </c>
      <c r="D105" s="83" t="s">
        <v>107</v>
      </c>
      <c r="E105" s="98"/>
      <c r="F105" s="122"/>
      <c r="G105" s="85" t="s">
        <v>466</v>
      </c>
      <c r="H105" s="86" t="s">
        <v>68</v>
      </c>
      <c r="I105" s="86" t="s">
        <v>110</v>
      </c>
      <c r="J105" s="87" t="s">
        <v>71</v>
      </c>
      <c r="K105" s="88" t="str">
        <f>IFERROR(VLOOKUP($D105,$Y$9:$AB$10,2,FALSE)/IF($D105="Inhalation",IF($J105="Central Tendency",SUMIFS('Inhalation Exposure_Short-Term'!$F$7:$F$397,'Inhalation Exposure_Short-Term'!$B$7:$B$397,$B105,'Inhalation Exposure_Short-Term'!$D$7:$D$397,$C105),SUMIFS('Inhalation Exposure_Short-Term'!$G$7:$G$397,'Inhalation Exposure_Short-Term'!$B$7:$B$397,$B105,'Inhalation Exposure_Short-Term'!$D$7:$D$397,$C105)),IF($J105="Central Tendency",VLOOKUP($B105,'Dermal Exposure'!$A$6:$L$19,9,FALSE),VLOOKUP($B105,'Dermal Exposure'!$A$6:$L$19,4,FALSE))),"--")</f>
        <v>--</v>
      </c>
      <c r="L105" s="88">
        <f>IFERROR(VLOOKUP($D105,$Y$9:$AB$10,2,FALSE)/IF($D105="Inhalation",IF($J105="Central Tendency",SUMIFS('Inhalation Exposure_8-hr'!$H$6:$H$411,'Inhalation Exposure_8-hr'!$B$6:$B$411,$B105,'Inhalation Exposure_8-hr'!$D$6:$D$411,$C105),SUMIFS('Inhalation Exposure_8-hr'!$I$6:$I$411,'Inhalation Exposure_8-hr'!$B$6:$B$411,$B105,'Inhalation Exposure_8-hr'!$D$6:$D$411,$C105)),IF($J105="Central Tendency",VLOOKUP($B105,'Dermal Exposure'!$A$6:$L$19,9,FALSE),VLOOKUP($B105,'Dermal Exposure'!$A$6:$L$19,4,FALSE))),"--")</f>
        <v>157.02281884630182</v>
      </c>
      <c r="M105" s="88">
        <f>IFERROR(VLOOKUP($D105,$Y$9:$AB$10,3,FALSE)/IF($D105="Inhalation",IF($J105="Central Tendency",SUMIFS('Inhalation Exposure_8-hr'!$L$6:$L$411,'Inhalation Exposure_8-hr'!$B$6:$B$411,$B105,'Inhalation Exposure_8-hr'!$D$6:$D$411,$C105),SUMIFS('Inhalation Exposure_8-hr'!$M$6:$M$411,'Inhalation Exposure_8-hr'!$B$6:$B$411,$B105,'Inhalation Exposure_8-hr'!$D$6:$D$411,$C105)),IF($J105="Central Tendency",VLOOKUP($B105,'Dermal Exposure'!$A$6:$L$19,10,FALSE),VLOOKUP($B105,'Dermal Exposure'!$A$6:$L$19,5,FALSE))),"--")</f>
        <v>4.6427008222294619</v>
      </c>
      <c r="N105" s="89">
        <f>IFERROR(VLOOKUP($D105,$Y$9:$AB$10,4,FALSE)/IF($D105="Inhalation",IF($J105="Central Tendency",SUMIFS('Inhalation Exposure_8-hr'!$N$6:$N$411,'Inhalation Exposure_8-hr'!$B$6:$B$411,$B105,'Inhalation Exposure_8-hr'!$D$6:$D$411,$C105),SUMIFS('Inhalation Exposure_8-hr'!$O$6:$O$411,'Inhalation Exposure_8-hr'!$B$6:$B$411,$B105,'Inhalation Exposure_8-hr'!$D$6:$D$411,$C105)),IF($J105="Central Tendency",VLOOKUP($B105,'Dermal Exposure'!$A$6:$L$19,11,FALSE),VLOOKUP($B105,'Dermal Exposure'!$A$6:$L$19,6,FALSE))),"--")</f>
        <v>4.9707850136670109</v>
      </c>
      <c r="O105" s="91" t="str">
        <f>IFERROR(K105*T105, "--")</f>
        <v>--</v>
      </c>
      <c r="P105" s="91">
        <f>IFERROR(L105*U105, "--")</f>
        <v>1570.2281884630181</v>
      </c>
      <c r="Q105" s="91">
        <f>IFERROR(M105*V105, "--")</f>
        <v>46.427008222294617</v>
      </c>
      <c r="R105" s="91">
        <f>IFERROR(N105*W105, "--")</f>
        <v>49.70785013667011</v>
      </c>
      <c r="T105" s="92">
        <v>10</v>
      </c>
      <c r="U105" s="93">
        <v>10</v>
      </c>
      <c r="V105" s="93">
        <v>10</v>
      </c>
      <c r="W105" s="94">
        <v>10</v>
      </c>
    </row>
    <row r="106" spans="2:23" ht="15" thickBot="1" x14ac:dyDescent="0.4">
      <c r="B106" s="82" t="s">
        <v>463</v>
      </c>
      <c r="C106" s="83" t="s">
        <v>68</v>
      </c>
      <c r="D106" s="83" t="s">
        <v>107</v>
      </c>
      <c r="E106" s="98"/>
      <c r="F106" s="122"/>
      <c r="G106" s="99"/>
      <c r="H106" s="100"/>
      <c r="I106" s="101"/>
      <c r="J106" s="102"/>
      <c r="K106" s="103"/>
      <c r="L106" s="103"/>
      <c r="M106" s="103"/>
      <c r="N106" s="104"/>
      <c r="O106" s="105" t="str">
        <f>CONCATENATE("(APF ",T105,")")</f>
        <v>(APF 10)</v>
      </c>
      <c r="P106" s="105" t="str">
        <f>CONCATENATE("(APF ",U105,")")</f>
        <v>(APF 10)</v>
      </c>
      <c r="Q106" s="105" t="str">
        <f>CONCATENATE("(APF ",V105,")")</f>
        <v>(APF 10)</v>
      </c>
      <c r="R106" s="105" t="str">
        <f>CONCATENATE("(APF ",W105,")")</f>
        <v>(APF 10)</v>
      </c>
      <c r="T106" s="106" t="s">
        <v>111</v>
      </c>
      <c r="U106" s="107" t="s">
        <v>111</v>
      </c>
      <c r="V106" s="107" t="s">
        <v>111</v>
      </c>
      <c r="W106" s="108" t="s">
        <v>111</v>
      </c>
    </row>
    <row r="107" spans="2:23" ht="15" thickBot="1" x14ac:dyDescent="0.4">
      <c r="B107" s="82" t="s">
        <v>463</v>
      </c>
      <c r="C107" s="83" t="s">
        <v>68</v>
      </c>
      <c r="D107" s="83" t="s">
        <v>107</v>
      </c>
      <c r="E107" s="98"/>
      <c r="F107" s="122"/>
      <c r="G107" s="99"/>
      <c r="H107" s="100"/>
      <c r="I107" s="101"/>
      <c r="J107" s="87" t="s">
        <v>112</v>
      </c>
      <c r="K107" s="88" t="str">
        <f>IFERROR(VLOOKUP($D107,$Y$9:$AB$10,2,FALSE)/IF($D107="Inhalation",IF($J107="Central Tendency",SUMIFS('Inhalation Exposure_Short-Term'!$F$7:$F$397,'Inhalation Exposure_Short-Term'!$B$7:$B$397,$B107,'Inhalation Exposure_Short-Term'!$D$7:$D$397,$C107),SUMIFS('Inhalation Exposure_Short-Term'!$G$7:$G$397,'Inhalation Exposure_Short-Term'!$B$7:$B$397,$B107,'Inhalation Exposure_Short-Term'!$D$7:$D$397,$C107)),IF($J107="Central Tendency",VLOOKUP($B107,'Dermal Exposure'!$A$6:$L$19,9,FALSE),VLOOKUP($B107,'Dermal Exposure'!$A$6:$L$19,4,FALSE))),"--")</f>
        <v>--</v>
      </c>
      <c r="L107" s="88">
        <f>IFERROR(VLOOKUP($D107,$Y$9:$AB$10,2,FALSE)/IF($D107="Inhalation",IF($J107="Central Tendency",SUMIFS('Inhalation Exposure_8-hr'!$H$6:$H$411,'Inhalation Exposure_8-hr'!$B$6:$B$411,$B107,'Inhalation Exposure_8-hr'!$D$6:$D$411,$C107),SUMIFS('Inhalation Exposure_8-hr'!$I$6:$I$411,'Inhalation Exposure_8-hr'!$B$6:$B$411,$B107,'Inhalation Exposure_8-hr'!$D$6:$D$411,$C107)),IF($J107="Central Tendency",VLOOKUP($B107,'Dermal Exposure'!$A$6:$L$19,9,FALSE),VLOOKUP($B107,'Dermal Exposure'!$A$6:$L$19,4,FALSE))),"--")</f>
        <v>34.70307374940149</v>
      </c>
      <c r="M107" s="88">
        <f>IFERROR(VLOOKUP($D107,$Y$9:$AB$10,3,FALSE)/IF($D107="Inhalation",IF($J107="Central Tendency",SUMIFS('Inhalation Exposure_8-hr'!$L$6:$L$411,'Inhalation Exposure_8-hr'!$B$6:$B$411,$B107,'Inhalation Exposure_8-hr'!$D$6:$D$411,$C107),SUMIFS('Inhalation Exposure_8-hr'!$M$6:$M$411,'Inhalation Exposure_8-hr'!$B$6:$B$411,$B107,'Inhalation Exposure_8-hr'!$D$6:$D$411,$C107)),IF($J107="Central Tendency",VLOOKUP($B107,'Dermal Exposure'!$A$6:$L$19,10,FALSE),VLOOKUP($B107,'Dermal Exposure'!$A$6:$L$19,5,FALSE))),"--")</f>
        <v>1.026067358960997</v>
      </c>
      <c r="N107" s="89">
        <f>IFERROR(VLOOKUP($D107,$Y$9:$AB$10,4,FALSE)/IF($D107="Inhalation",IF($J107="Central Tendency",SUMIFS('Inhalation Exposure_8-hr'!$N$6:$N$411,'Inhalation Exposure_8-hr'!$B$6:$B$411,$B107,'Inhalation Exposure_8-hr'!$D$6:$D$411,$C107),SUMIFS('Inhalation Exposure_8-hr'!$O$6:$O$411,'Inhalation Exposure_8-hr'!$B$6:$B$411,$B107,'Inhalation Exposure_8-hr'!$D$6:$D$411,$C107)),IF($J107="Central Tendency",VLOOKUP($B107,'Dermal Exposure'!$A$6:$L$19,11,FALSE),VLOOKUP($B107,'Dermal Exposure'!$A$6:$L$19,6,FALSE))),"--")</f>
        <v>1.0985761189942409</v>
      </c>
      <c r="O107" s="91" t="str">
        <f>IFERROR(K107*T107, "--")</f>
        <v>--</v>
      </c>
      <c r="P107" s="91">
        <f>IFERROR(L107*U107, "--")</f>
        <v>347.03073749401489</v>
      </c>
      <c r="Q107" s="91">
        <f>IFERROR(M107*V107, "--")</f>
        <v>10.26067358960997</v>
      </c>
      <c r="R107" s="91">
        <f>IFERROR(N107*W107, "--")</f>
        <v>10.985761189942409</v>
      </c>
      <c r="T107" s="109">
        <v>10</v>
      </c>
      <c r="U107" s="110">
        <v>10</v>
      </c>
      <c r="V107" s="110">
        <v>10</v>
      </c>
      <c r="W107" s="111">
        <v>10</v>
      </c>
    </row>
    <row r="108" spans="2:23" ht="15" thickBot="1" x14ac:dyDescent="0.4">
      <c r="B108" s="82" t="s">
        <v>463</v>
      </c>
      <c r="C108" s="83" t="s">
        <v>68</v>
      </c>
      <c r="D108" s="83" t="s">
        <v>107</v>
      </c>
      <c r="E108" s="98"/>
      <c r="F108" s="122"/>
      <c r="G108" s="112"/>
      <c r="H108" s="100"/>
      <c r="I108" s="113"/>
      <c r="J108" s="102"/>
      <c r="K108" s="103"/>
      <c r="L108" s="103"/>
      <c r="M108" s="103"/>
      <c r="N108" s="104"/>
      <c r="O108" s="105" t="str">
        <f>CONCATENATE("(APF ",T107,")")</f>
        <v>(APF 10)</v>
      </c>
      <c r="P108" s="105" t="str">
        <f>CONCATENATE("(APF ",U107,")")</f>
        <v>(APF 10)</v>
      </c>
      <c r="Q108" s="105" t="str">
        <f>CONCATENATE("(APF ",V107,")")</f>
        <v>(APF 10)</v>
      </c>
      <c r="R108" s="105" t="str">
        <f>CONCATENATE("(APF ",W107,")")</f>
        <v>(APF 10)</v>
      </c>
      <c r="T108" s="114" t="s">
        <v>111</v>
      </c>
      <c r="U108" s="115" t="s">
        <v>111</v>
      </c>
      <c r="V108" s="115" t="s">
        <v>111</v>
      </c>
      <c r="W108" s="116" t="s">
        <v>111</v>
      </c>
    </row>
    <row r="109" spans="2:23" ht="15.75" customHeight="1" thickBot="1" x14ac:dyDescent="0.4">
      <c r="B109" s="82" t="s">
        <v>464</v>
      </c>
      <c r="C109" s="83" t="s">
        <v>68</v>
      </c>
      <c r="D109" s="83" t="s">
        <v>107</v>
      </c>
      <c r="E109" s="98"/>
      <c r="F109" s="122"/>
      <c r="G109" s="85" t="s">
        <v>467</v>
      </c>
      <c r="H109" s="100"/>
      <c r="I109" s="86" t="s">
        <v>110</v>
      </c>
      <c r="J109" s="87" t="s">
        <v>71</v>
      </c>
      <c r="K109" s="88" t="str">
        <f>IFERROR(VLOOKUP($D109,$Y$9:$AB$10,2,FALSE)/IF($D109="Inhalation",IF($J109="Central Tendency",SUMIFS('Inhalation Exposure_Short-Term'!$F$7:$F$397,'Inhalation Exposure_Short-Term'!$B$7:$B$397,$B109,'Inhalation Exposure_Short-Term'!$D$7:$D$397,$C109),SUMIFS('Inhalation Exposure_Short-Term'!$G$7:$G$397,'Inhalation Exposure_Short-Term'!$B$7:$B$397,$B109,'Inhalation Exposure_Short-Term'!$D$7:$D$397,$C109)),IF($J109="Central Tendency",VLOOKUP($B109,'Dermal Exposure'!$A$6:$L$19,9,FALSE),VLOOKUP($B109,'Dermal Exposure'!$A$6:$L$19,4,FALSE))),"--")</f>
        <v>--</v>
      </c>
      <c r="L109" s="88">
        <f>IFERROR(VLOOKUP($D109,$Y$9:$AB$10,2,FALSE)/IF($D109="Inhalation",IF($J109="Central Tendency",SUMIFS('Inhalation Exposure_8-hr'!$H$6:$H$411,'Inhalation Exposure_8-hr'!$B$6:$B$411,$B109,'Inhalation Exposure_8-hr'!$D$6:$D$411,$C109),SUMIFS('Inhalation Exposure_8-hr'!$I$6:$I$411,'Inhalation Exposure_8-hr'!$B$6:$B$411,$B109,'Inhalation Exposure_8-hr'!$D$6:$D$411,$C109)),IF($J109="Central Tendency",VLOOKUP($B109,'Dermal Exposure'!$A$6:$L$19,9,FALSE),VLOOKUP($B109,'Dermal Exposure'!$A$6:$L$19,4,FALSE))),"--")</f>
        <v>337.43201496758473</v>
      </c>
      <c r="M109" s="88">
        <f>IFERROR(VLOOKUP($D109,$Y$9:$AB$10,3,FALSE)/IF($D109="Inhalation",IF($J109="Central Tendency",SUMIFS('Inhalation Exposure_8-hr'!$L$6:$L$411,'Inhalation Exposure_8-hr'!$B$6:$B$411,$B109,'Inhalation Exposure_8-hr'!$D$6:$D$411,$C109),SUMIFS('Inhalation Exposure_8-hr'!$M$6:$M$411,'Inhalation Exposure_8-hr'!$B$6:$B$411,$B109,'Inhalation Exposure_8-hr'!$D$6:$D$411,$C109)),IF($J109="Central Tendency",VLOOKUP($B109,'Dermal Exposure'!$A$6:$L$19,10,FALSE),VLOOKUP($B109,'Dermal Exposure'!$A$6:$L$19,5,FALSE))),"--")</f>
        <v>9.9768677243654391</v>
      </c>
      <c r="N109" s="89">
        <f>IFERROR(VLOOKUP($D109,$Y$9:$AB$10,4,FALSE)/IF($D109="Inhalation",IF($J109="Central Tendency",SUMIFS('Inhalation Exposure_8-hr'!$N$6:$N$411,'Inhalation Exposure_8-hr'!$B$6:$B$411,$B109,'Inhalation Exposure_8-hr'!$D$6:$D$411,$C109),SUMIFS('Inhalation Exposure_8-hr'!$O$6:$O$411,'Inhalation Exposure_8-hr'!$B$6:$B$411,$B109,'Inhalation Exposure_8-hr'!$D$6:$D$411,$C109)),IF($J109="Central Tendency",VLOOKUP($B109,'Dermal Exposure'!$A$6:$L$19,11,FALSE),VLOOKUP($B109,'Dermal Exposure'!$A$6:$L$19,6,FALSE))),"--")</f>
        <v>10.681899710220598</v>
      </c>
      <c r="O109" s="91" t="str">
        <f>IFERROR(K109*T109, "--")</f>
        <v>--</v>
      </c>
      <c r="P109" s="91">
        <f>IFERROR(L109*U109, "--")</f>
        <v>3374.3201496758475</v>
      </c>
      <c r="Q109" s="91">
        <f>IFERROR(M109*V109, "--")</f>
        <v>498.84338621827197</v>
      </c>
      <c r="R109" s="91">
        <f>IFERROR(N109*W109, "--")</f>
        <v>534.0949855110299</v>
      </c>
      <c r="T109" s="92">
        <v>10</v>
      </c>
      <c r="U109" s="93">
        <v>10</v>
      </c>
      <c r="V109" s="93">
        <v>50</v>
      </c>
      <c r="W109" s="94">
        <v>50</v>
      </c>
    </row>
    <row r="110" spans="2:23" ht="15" thickBot="1" x14ac:dyDescent="0.4">
      <c r="B110" s="82" t="s">
        <v>464</v>
      </c>
      <c r="C110" s="83" t="s">
        <v>68</v>
      </c>
      <c r="D110" s="83" t="s">
        <v>107</v>
      </c>
      <c r="E110" s="98"/>
      <c r="F110" s="122"/>
      <c r="G110" s="99"/>
      <c r="H110" s="100"/>
      <c r="I110" s="101"/>
      <c r="J110" s="102"/>
      <c r="K110" s="103"/>
      <c r="L110" s="103"/>
      <c r="M110" s="103"/>
      <c r="N110" s="104"/>
      <c r="O110" s="105" t="str">
        <f>CONCATENATE("(APF ",T109,")")</f>
        <v>(APF 10)</v>
      </c>
      <c r="P110" s="105" t="str">
        <f>CONCATENATE("(APF ",U109,")")</f>
        <v>(APF 10)</v>
      </c>
      <c r="Q110" s="105" t="str">
        <f>CONCATENATE("(APF ",V109,")")</f>
        <v>(APF 50)</v>
      </c>
      <c r="R110" s="105" t="str">
        <f>CONCATENATE("(APF ",W109,")")</f>
        <v>(APF 50)</v>
      </c>
      <c r="T110" s="106" t="s">
        <v>111</v>
      </c>
      <c r="U110" s="107" t="s">
        <v>111</v>
      </c>
      <c r="V110" s="107" t="s">
        <v>111</v>
      </c>
      <c r="W110" s="108" t="s">
        <v>111</v>
      </c>
    </row>
    <row r="111" spans="2:23" ht="15" thickBot="1" x14ac:dyDescent="0.4">
      <c r="B111" s="82" t="s">
        <v>464</v>
      </c>
      <c r="C111" s="83" t="s">
        <v>68</v>
      </c>
      <c r="D111" s="83" t="s">
        <v>107</v>
      </c>
      <c r="E111" s="98"/>
      <c r="F111" s="122"/>
      <c r="G111" s="99"/>
      <c r="H111" s="100"/>
      <c r="I111" s="101"/>
      <c r="J111" s="87" t="s">
        <v>112</v>
      </c>
      <c r="K111" s="88" t="str">
        <f>IFERROR(VLOOKUP($D111,$Y$9:$AB$10,2,FALSE)/IF($D111="Inhalation",IF($J111="Central Tendency",SUMIFS('Inhalation Exposure_Short-Term'!$F$7:$F$397,'Inhalation Exposure_Short-Term'!$B$7:$B$397,$B111,'Inhalation Exposure_Short-Term'!$D$7:$D$397,$C111),SUMIFS('Inhalation Exposure_Short-Term'!$G$7:$G$397,'Inhalation Exposure_Short-Term'!$B$7:$B$397,$B111,'Inhalation Exposure_Short-Term'!$D$7:$D$397,$C111)),IF($J111="Central Tendency",VLOOKUP($B111,'Dermal Exposure'!$A$6:$L$19,9,FALSE),VLOOKUP($B111,'Dermal Exposure'!$A$6:$L$19,4,FALSE))),"--")</f>
        <v>--</v>
      </c>
      <c r="L111" s="88">
        <f>IFERROR(VLOOKUP($D111,$Y$9:$AB$10,2,FALSE)/IF($D111="Inhalation",IF($J111="Central Tendency",SUMIFS('Inhalation Exposure_8-hr'!$H$6:$H$411,'Inhalation Exposure_8-hr'!$B$6:$B$411,$B111,'Inhalation Exposure_8-hr'!$D$6:$D$411,$C111),SUMIFS('Inhalation Exposure_8-hr'!$I$6:$I$411,'Inhalation Exposure_8-hr'!$B$6:$B$411,$B111,'Inhalation Exposure_8-hr'!$D$6:$D$411,$C111)),IF($J111="Central Tendency",VLOOKUP($B111,'Dermal Exposure'!$A$6:$L$19,9,FALSE),VLOOKUP($B111,'Dermal Exposure'!$A$6:$L$19,4,FALSE))),"--")</f>
        <v>44.176336221382961</v>
      </c>
      <c r="M111" s="88">
        <f>IFERROR(VLOOKUP($D111,$Y$9:$AB$10,3,FALSE)/IF($D111="Inhalation",IF($J111="Central Tendency",SUMIFS('Inhalation Exposure_8-hr'!$L$6:$L$411,'Inhalation Exposure_8-hr'!$B$6:$B$411,$B111,'Inhalation Exposure_8-hr'!$D$6:$D$411,$C111),SUMIFS('Inhalation Exposure_8-hr'!$M$6:$M$411,'Inhalation Exposure_8-hr'!$B$6:$B$411,$B111,'Inhalation Exposure_8-hr'!$D$6:$D$411,$C111)),IF($J111="Central Tendency",VLOOKUP($B111,'Dermal Exposure'!$A$6:$L$19,10,FALSE),VLOOKUP($B111,'Dermal Exposure'!$A$6:$L$19,5,FALSE))),"--")</f>
        <v>1.306163741072913</v>
      </c>
      <c r="N111" s="89">
        <f>IFERROR(VLOOKUP($D111,$Y$9:$AB$10,4,FALSE)/IF($D111="Inhalation",IF($J111="Central Tendency",SUMIFS('Inhalation Exposure_8-hr'!$N$6:$N$411,'Inhalation Exposure_8-hr'!$B$6:$B$411,$B111,'Inhalation Exposure_8-hr'!$D$6:$D$411,$C111),SUMIFS('Inhalation Exposure_8-hr'!$O$6:$O$411,'Inhalation Exposure_8-hr'!$B$6:$B$411,$B111,'Inhalation Exposure_8-hr'!$D$6:$D$411,$C111)),IF($J111="Central Tendency",VLOOKUP($B111,'Dermal Exposure'!$A$6:$L$19,11,FALSE),VLOOKUP($B111,'Dermal Exposure'!$A$6:$L$19,6,FALSE))),"--")</f>
        <v>1.3984659787753986</v>
      </c>
      <c r="O111" s="91" t="str">
        <f>IFERROR(K111*T111, "--")</f>
        <v>--</v>
      </c>
      <c r="P111" s="91">
        <f>IFERROR(L111*U111, "--")</f>
        <v>441.76336221382962</v>
      </c>
      <c r="Q111" s="91">
        <f>IFERROR(M111*V111, "--")</f>
        <v>65.308187053645653</v>
      </c>
      <c r="R111" s="91">
        <f>IFERROR(N111*W111, "--")</f>
        <v>69.923298938769932</v>
      </c>
      <c r="T111" s="109">
        <v>10</v>
      </c>
      <c r="U111" s="110">
        <v>10</v>
      </c>
      <c r="V111" s="110">
        <v>50</v>
      </c>
      <c r="W111" s="111">
        <v>50</v>
      </c>
    </row>
    <row r="112" spans="2:23" ht="15" thickBot="1" x14ac:dyDescent="0.4">
      <c r="B112" s="82" t="s">
        <v>464</v>
      </c>
      <c r="C112" s="83" t="s">
        <v>68</v>
      </c>
      <c r="D112" s="83" t="s">
        <v>107</v>
      </c>
      <c r="E112" s="98"/>
      <c r="F112" s="122"/>
      <c r="G112" s="112"/>
      <c r="H112" s="100"/>
      <c r="I112" s="113"/>
      <c r="J112" s="102"/>
      <c r="K112" s="103"/>
      <c r="L112" s="103"/>
      <c r="M112" s="103"/>
      <c r="N112" s="104"/>
      <c r="O112" s="105" t="str">
        <f>CONCATENATE("(APF ",T111,")")</f>
        <v>(APF 10)</v>
      </c>
      <c r="P112" s="105" t="str">
        <f>CONCATENATE("(APF ",U111,")")</f>
        <v>(APF 10)</v>
      </c>
      <c r="Q112" s="105" t="str">
        <f>CONCATENATE("(APF ",V111,")")</f>
        <v>(APF 50)</v>
      </c>
      <c r="R112" s="105" t="str">
        <f>CONCATENATE("(APF ",W111,")")</f>
        <v>(APF 50)</v>
      </c>
      <c r="T112" s="114" t="s">
        <v>111</v>
      </c>
      <c r="U112" s="115" t="s">
        <v>111</v>
      </c>
      <c r="V112" s="115" t="s">
        <v>111</v>
      </c>
      <c r="W112" s="116" t="s">
        <v>111</v>
      </c>
    </row>
    <row r="113" spans="2:23" ht="15.75" customHeight="1" thickBot="1" x14ac:dyDescent="0.4">
      <c r="B113" s="82" t="s">
        <v>469</v>
      </c>
      <c r="C113" s="83" t="s">
        <v>68</v>
      </c>
      <c r="D113" s="83" t="s">
        <v>107</v>
      </c>
      <c r="E113" s="98"/>
      <c r="F113" s="122"/>
      <c r="G113" s="85" t="s">
        <v>471</v>
      </c>
      <c r="H113" s="86" t="s">
        <v>68</v>
      </c>
      <c r="I113" s="86" t="s">
        <v>110</v>
      </c>
      <c r="J113" s="87" t="s">
        <v>71</v>
      </c>
      <c r="K113" s="88" t="str">
        <f>IFERROR(VLOOKUP($D113,$Y$9:$AB$10,2,FALSE)/IF($D113="Inhalation",IF($J113="Central Tendency",SUMIFS('Inhalation Exposure_Short-Term'!$F$7:$F$397,'Inhalation Exposure_Short-Term'!$B$7:$B$397,$B113,'Inhalation Exposure_Short-Term'!$D$7:$D$397,$C113),SUMIFS('Inhalation Exposure_Short-Term'!$G$7:$G$397,'Inhalation Exposure_Short-Term'!$B$7:$B$397,$B113,'Inhalation Exposure_Short-Term'!$D$7:$D$397,$C113)),IF($J113="Central Tendency",VLOOKUP($B113,'Dermal Exposure'!$A$6:$L$19,9,FALSE),VLOOKUP($B113,'Dermal Exposure'!$A$6:$L$19,4,FALSE))),"--")</f>
        <v>--</v>
      </c>
      <c r="L113" s="88">
        <f>IFERROR(VLOOKUP($D113,$Y$9:$AB$10,2,FALSE)/IF($D113="Inhalation",IF($J113="Central Tendency",SUMIFS('Inhalation Exposure_8-hr'!$H$6:$H$411,'Inhalation Exposure_8-hr'!$B$6:$B$411,$B113,'Inhalation Exposure_8-hr'!$D$6:$D$411,$C113),SUMIFS('Inhalation Exposure_8-hr'!$I$6:$I$411,'Inhalation Exposure_8-hr'!$B$6:$B$411,$B113,'Inhalation Exposure_8-hr'!$D$6:$D$411,$C113)),IF($J113="Central Tendency",VLOOKUP($B113,'Dermal Exposure'!$A$6:$L$19,9,FALSE),VLOOKUP($B113,'Dermal Exposure'!$A$6:$L$19,4,FALSE))),"--")</f>
        <v>2643.2174505794142</v>
      </c>
      <c r="M113" s="88">
        <f>IFERROR(VLOOKUP($D113,$Y$9:$AB$10,3,FALSE)/IF($D113="Inhalation",IF($J113="Central Tendency",SUMIFS('Inhalation Exposure_8-hr'!$L$6:$L$411,'Inhalation Exposure_8-hr'!$B$6:$B$411,$B113,'Inhalation Exposure_8-hr'!$D$6:$D$411,$C113),SUMIFS('Inhalation Exposure_8-hr'!$M$6:$M$411,'Inhalation Exposure_8-hr'!$B$6:$B$411,$B113,'Inhalation Exposure_8-hr'!$D$6:$D$411,$C113)),IF($J113="Central Tendency",VLOOKUP($B113,'Dermal Exposure'!$A$6:$L$19,10,FALSE),VLOOKUP($B113,'Dermal Exposure'!$A$6:$L$19,5,FALSE))),"--")</f>
        <v>78.152130507529293</v>
      </c>
      <c r="N113" s="89">
        <f>IFERROR(VLOOKUP($D113,$Y$9:$AB$10,4,FALSE)/IF($D113="Inhalation",IF($J113="Central Tendency",SUMIFS('Inhalation Exposure_8-hr'!$N$6:$N$411,'Inhalation Exposure_8-hr'!$B$6:$B$411,$B113,'Inhalation Exposure_8-hr'!$D$6:$D$411,$C113),SUMIFS('Inhalation Exposure_8-hr'!$O$6:$O$411,'Inhalation Exposure_8-hr'!$B$6:$B$411,$B113,'Inhalation Exposure_8-hr'!$D$6:$D$411,$C113)),IF($J113="Central Tendency",VLOOKUP($B113,'Dermal Exposure'!$A$6:$L$19,11,FALSE),VLOOKUP($B113,'Dermal Exposure'!$A$6:$L$19,6,FALSE))),"--")</f>
        <v>83.674881063394679</v>
      </c>
      <c r="O113" s="91" t="str">
        <f>IFERROR(K113*T113, "--")</f>
        <v>--</v>
      </c>
      <c r="P113" s="91">
        <f>IFERROR(L113*U113, "--")</f>
        <v>26432.174505794141</v>
      </c>
      <c r="Q113" s="91">
        <f>IFERROR(M113*V113, "--")</f>
        <v>781.52130507529296</v>
      </c>
      <c r="R113" s="91">
        <f>IFERROR(N113*W113, "--")</f>
        <v>836.74881063394673</v>
      </c>
      <c r="T113" s="92">
        <v>10</v>
      </c>
      <c r="U113" s="93">
        <v>10</v>
      </c>
      <c r="V113" s="93">
        <v>10</v>
      </c>
      <c r="W113" s="94">
        <v>10</v>
      </c>
    </row>
    <row r="114" spans="2:23" ht="15" thickBot="1" x14ac:dyDescent="0.4">
      <c r="B114" s="82" t="s">
        <v>469</v>
      </c>
      <c r="C114" s="83" t="s">
        <v>68</v>
      </c>
      <c r="D114" s="83" t="s">
        <v>107</v>
      </c>
      <c r="E114" s="98"/>
      <c r="F114" s="122"/>
      <c r="G114" s="99"/>
      <c r="H114" s="100"/>
      <c r="I114" s="101"/>
      <c r="J114" s="102"/>
      <c r="K114" s="103"/>
      <c r="L114" s="103"/>
      <c r="M114" s="103"/>
      <c r="N114" s="104"/>
      <c r="O114" s="105" t="str">
        <f>CONCATENATE("(APF ",T113,")")</f>
        <v>(APF 10)</v>
      </c>
      <c r="P114" s="105" t="str">
        <f>CONCATENATE("(APF ",U113,")")</f>
        <v>(APF 10)</v>
      </c>
      <c r="Q114" s="105" t="str">
        <f>CONCATENATE("(APF ",V113,")")</f>
        <v>(APF 10)</v>
      </c>
      <c r="R114" s="105" t="str">
        <f>CONCATENATE("(APF ",W113,")")</f>
        <v>(APF 10)</v>
      </c>
      <c r="T114" s="106" t="s">
        <v>111</v>
      </c>
      <c r="U114" s="107" t="s">
        <v>111</v>
      </c>
      <c r="V114" s="107" t="s">
        <v>111</v>
      </c>
      <c r="W114" s="108" t="s">
        <v>111</v>
      </c>
    </row>
    <row r="115" spans="2:23" ht="15" thickBot="1" x14ac:dyDescent="0.4">
      <c r="B115" s="82" t="s">
        <v>469</v>
      </c>
      <c r="C115" s="83" t="s">
        <v>68</v>
      </c>
      <c r="D115" s="83" t="s">
        <v>107</v>
      </c>
      <c r="E115" s="98"/>
      <c r="F115" s="122"/>
      <c r="G115" s="99"/>
      <c r="H115" s="100"/>
      <c r="I115" s="101"/>
      <c r="J115" s="87" t="s">
        <v>112</v>
      </c>
      <c r="K115" s="88" t="str">
        <f>IFERROR(VLOOKUP($D115,$Y$9:$AB$10,2,FALSE)/IF($D115="Inhalation",IF($J115="Central Tendency",SUMIFS('Inhalation Exposure_Short-Term'!$F$7:$F$397,'Inhalation Exposure_Short-Term'!$B$7:$B$397,$B115,'Inhalation Exposure_Short-Term'!$D$7:$D$397,$C115),SUMIFS('Inhalation Exposure_Short-Term'!$G$7:$G$397,'Inhalation Exposure_Short-Term'!$B$7:$B$397,$B115,'Inhalation Exposure_Short-Term'!$D$7:$D$397,$C115)),IF($J115="Central Tendency",VLOOKUP($B115,'Dermal Exposure'!$A$6:$L$19,9,FALSE),VLOOKUP($B115,'Dermal Exposure'!$A$6:$L$19,4,FALSE))),"--")</f>
        <v>--</v>
      </c>
      <c r="L115" s="88">
        <f>IFERROR(VLOOKUP($D115,$Y$9:$AB$10,2,FALSE)/IF($D115="Inhalation",IF($J115="Central Tendency",SUMIFS('Inhalation Exposure_8-hr'!$H$6:$H$411,'Inhalation Exposure_8-hr'!$B$6:$B$411,$B115,'Inhalation Exposure_8-hr'!$D$6:$D$411,$C115),SUMIFS('Inhalation Exposure_8-hr'!$I$6:$I$411,'Inhalation Exposure_8-hr'!$B$6:$B$411,$B115,'Inhalation Exposure_8-hr'!$D$6:$D$411,$C115)),IF($J115="Central Tendency",VLOOKUP($B115,'Dermal Exposure'!$A$6:$L$19,9,FALSE),VLOOKUP($B115,'Dermal Exposure'!$A$6:$L$19,4,FALSE))),"--")</f>
        <v>384.93458018146816</v>
      </c>
      <c r="M115" s="88">
        <f>IFERROR(VLOOKUP($D115,$Y$9:$AB$10,3,FALSE)/IF($D115="Inhalation",IF($J115="Central Tendency",SUMIFS('Inhalation Exposure_8-hr'!$L$6:$L$411,'Inhalation Exposure_8-hr'!$B$6:$B$411,$B115,'Inhalation Exposure_8-hr'!$D$6:$D$411,$C115),SUMIFS('Inhalation Exposure_8-hr'!$M$6:$M$411,'Inhalation Exposure_8-hr'!$B$6:$B$411,$B115,'Inhalation Exposure_8-hr'!$D$6:$D$411,$C115)),IF($J115="Central Tendency",VLOOKUP($B115,'Dermal Exposure'!$A$6:$L$19,10,FALSE),VLOOKUP($B115,'Dermal Exposure'!$A$6:$L$19,5,FALSE))),"--")</f>
        <v>11.38137822925184</v>
      </c>
      <c r="N115" s="89">
        <f>IFERROR(VLOOKUP($D115,$Y$9:$AB$10,4,FALSE)/IF($D115="Inhalation",IF($J115="Central Tendency",SUMIFS('Inhalation Exposure_8-hr'!$N$6:$N$411,'Inhalation Exposure_8-hr'!$B$6:$B$411,$B115,'Inhalation Exposure_8-hr'!$D$6:$D$411,$C115),SUMIFS('Inhalation Exposure_8-hr'!$O$6:$O$411,'Inhalation Exposure_8-hr'!$B$6:$B$411,$B115,'Inhalation Exposure_8-hr'!$D$6:$D$411,$C115)),IF($J115="Central Tendency",VLOOKUP($B115,'Dermal Exposure'!$A$6:$L$19,11,FALSE),VLOOKUP($B115,'Dermal Exposure'!$A$6:$L$19,6,FALSE))),"--")</f>
        <v>12.185662290785636</v>
      </c>
      <c r="O115" s="91" t="str">
        <f>IFERROR(K115*T115, "--")</f>
        <v>--</v>
      </c>
      <c r="P115" s="91">
        <f>IFERROR(L115*U115, "--")</f>
        <v>3849.3458018146816</v>
      </c>
      <c r="Q115" s="91">
        <f>IFERROR(M115*V115, "--")</f>
        <v>113.8137822925184</v>
      </c>
      <c r="R115" s="91">
        <f>IFERROR(N115*W115, "--")</f>
        <v>121.85662290785636</v>
      </c>
      <c r="T115" s="109">
        <v>10</v>
      </c>
      <c r="U115" s="110">
        <v>10</v>
      </c>
      <c r="V115" s="110">
        <v>10</v>
      </c>
      <c r="W115" s="111">
        <v>10</v>
      </c>
    </row>
    <row r="116" spans="2:23" ht="15" thickBot="1" x14ac:dyDescent="0.4">
      <c r="B116" s="82" t="s">
        <v>469</v>
      </c>
      <c r="C116" s="83" t="s">
        <v>68</v>
      </c>
      <c r="D116" s="83" t="s">
        <v>107</v>
      </c>
      <c r="E116" s="98"/>
      <c r="F116" s="122"/>
      <c r="G116" s="112"/>
      <c r="H116" s="118"/>
      <c r="I116" s="113"/>
      <c r="J116" s="102"/>
      <c r="K116" s="103"/>
      <c r="L116" s="103"/>
      <c r="M116" s="103"/>
      <c r="N116" s="104"/>
      <c r="O116" s="105" t="str">
        <f>CONCATENATE("(APF ",T115,")")</f>
        <v>(APF 10)</v>
      </c>
      <c r="P116" s="105" t="str">
        <f>CONCATENATE("(APF ",U115,")")</f>
        <v>(APF 10)</v>
      </c>
      <c r="Q116" s="105" t="str">
        <f>CONCATENATE("(APF ",V115,")")</f>
        <v>(APF 10)</v>
      </c>
      <c r="R116" s="105" t="str">
        <f>CONCATENATE("(APF ",W115,")")</f>
        <v>(APF 10)</v>
      </c>
      <c r="T116" s="114" t="s">
        <v>111</v>
      </c>
      <c r="U116" s="115" t="s">
        <v>111</v>
      </c>
      <c r="V116" s="115" t="s">
        <v>111</v>
      </c>
      <c r="W116" s="116" t="s">
        <v>111</v>
      </c>
    </row>
    <row r="117" spans="2:23" ht="15" thickBot="1" x14ac:dyDescent="0.4">
      <c r="B117" s="82" t="s">
        <v>476</v>
      </c>
      <c r="C117" s="83" t="s">
        <v>68</v>
      </c>
      <c r="D117" s="83" t="s">
        <v>107</v>
      </c>
      <c r="E117" s="98"/>
      <c r="F117" s="122"/>
      <c r="G117" s="85" t="s">
        <v>473</v>
      </c>
      <c r="H117" s="86" t="s">
        <v>68</v>
      </c>
      <c r="I117" s="86" t="s">
        <v>110</v>
      </c>
      <c r="J117" s="87" t="s">
        <v>71</v>
      </c>
      <c r="K117" s="88" t="str">
        <f>IFERROR(VLOOKUP($D117,$Y$9:$AB$10,2,FALSE)/IF($D117="Inhalation",IF($J117="Central Tendency",SUMIFS('Inhalation Exposure_Short-Term'!$F$7:$F$397,'Inhalation Exposure_Short-Term'!$B$7:$B$397,$B117,'Inhalation Exposure_Short-Term'!$D$7:$D$397,$C117),SUMIFS('Inhalation Exposure_Short-Term'!$G$7:$G$397,'Inhalation Exposure_Short-Term'!$B$7:$B$397,$B117,'Inhalation Exposure_Short-Term'!$D$7:$D$397,$C117)),IF($J117="Central Tendency",VLOOKUP($B117,'Dermal Exposure'!$A$6:$L$19,9,FALSE),VLOOKUP($B117,'Dermal Exposure'!$A$6:$L$19,4,FALSE))),"--")</f>
        <v>--</v>
      </c>
      <c r="L117" s="88">
        <f>IFERROR(VLOOKUP($D117,$Y$9:$AB$10,2,FALSE)/IF($D117="Inhalation",IF($J117="Central Tendency",SUMIFS('Inhalation Exposure_8-hr'!$H$6:$H$411,'Inhalation Exposure_8-hr'!$B$6:$B$411,$B117,'Inhalation Exposure_8-hr'!$D$6:$D$411,$C117),SUMIFS('Inhalation Exposure_8-hr'!$I$6:$I$411,'Inhalation Exposure_8-hr'!$B$6:$B$411,$B117,'Inhalation Exposure_8-hr'!$D$6:$D$411,$C117)),IF($J117="Central Tendency",VLOOKUP($B117,'Dermal Exposure'!$A$6:$L$19,9,FALSE),VLOOKUP($B117,'Dermal Exposure'!$A$6:$L$19,4,FALSE))),"--")</f>
        <v>5286.4349011588283</v>
      </c>
      <c r="M117" s="88">
        <f>IFERROR(VLOOKUP($D117,$Y$9:$AB$10,3,FALSE)/IF($D117="Inhalation",IF($J117="Central Tendency",SUMIFS('Inhalation Exposure_8-hr'!$L$6:$L$411,'Inhalation Exposure_8-hr'!$B$6:$B$411,$B117,'Inhalation Exposure_8-hr'!$D$6:$D$411,$C117),SUMIFS('Inhalation Exposure_8-hr'!$M$6:$M$411,'Inhalation Exposure_8-hr'!$B$6:$B$411,$B117,'Inhalation Exposure_8-hr'!$D$6:$D$411,$C117)),IF($J117="Central Tendency",VLOOKUP($B117,'Dermal Exposure'!$A$6:$L$19,10,FALSE),VLOOKUP($B117,'Dermal Exposure'!$A$6:$L$19,5,FALSE))),"--")</f>
        <v>156.30426101505859</v>
      </c>
      <c r="N117" s="89">
        <f>IFERROR(VLOOKUP($D117,$Y$9:$AB$10,4,FALSE)/IF($D117="Inhalation",IF($J117="Central Tendency",SUMIFS('Inhalation Exposure_8-hr'!$N$6:$N$411,'Inhalation Exposure_8-hr'!$B$6:$B$411,$B117,'Inhalation Exposure_8-hr'!$D$6:$D$411,$C117),SUMIFS('Inhalation Exposure_8-hr'!$O$6:$O$411,'Inhalation Exposure_8-hr'!$B$6:$B$411,$B117,'Inhalation Exposure_8-hr'!$D$6:$D$411,$C117)),IF($J117="Central Tendency",VLOOKUP($B117,'Dermal Exposure'!$A$6:$L$19,11,FALSE),VLOOKUP($B117,'Dermal Exposure'!$A$6:$L$19,6,FALSE))),"--")</f>
        <v>167.34976212678936</v>
      </c>
      <c r="O117" s="91" t="str">
        <f>IFERROR(K117*T117, "--")</f>
        <v>--</v>
      </c>
      <c r="P117" s="91">
        <f>IFERROR(L117*U117, "--")</f>
        <v>52864.349011588281</v>
      </c>
      <c r="Q117" s="91">
        <f>IFERROR(M117*V117, "--")</f>
        <v>1563.0426101505859</v>
      </c>
      <c r="R117" s="91">
        <f>IFERROR(N117*W117, "--")</f>
        <v>1673.4976212678935</v>
      </c>
      <c r="T117" s="92">
        <v>10</v>
      </c>
      <c r="U117" s="93">
        <v>10</v>
      </c>
      <c r="V117" s="93">
        <v>10</v>
      </c>
      <c r="W117" s="94">
        <v>10</v>
      </c>
    </row>
    <row r="118" spans="2:23" ht="15" thickBot="1" x14ac:dyDescent="0.4">
      <c r="B118" s="82" t="s">
        <v>476</v>
      </c>
      <c r="C118" s="83" t="s">
        <v>68</v>
      </c>
      <c r="D118" s="83" t="s">
        <v>107</v>
      </c>
      <c r="E118" s="98"/>
      <c r="F118" s="122"/>
      <c r="G118" s="99"/>
      <c r="H118" s="101"/>
      <c r="I118" s="101"/>
      <c r="J118" s="102"/>
      <c r="K118" s="103"/>
      <c r="L118" s="103"/>
      <c r="M118" s="103"/>
      <c r="N118" s="104"/>
      <c r="O118" s="105" t="str">
        <f>CONCATENATE("(APF ",T117,")")</f>
        <v>(APF 10)</v>
      </c>
      <c r="P118" s="105" t="str">
        <f>CONCATENATE("(APF ",U117,")")</f>
        <v>(APF 10)</v>
      </c>
      <c r="Q118" s="105" t="str">
        <f>CONCATENATE("(APF ",V117,")")</f>
        <v>(APF 10)</v>
      </c>
      <c r="R118" s="105" t="str">
        <f>CONCATENATE("(APF ",W117,")")</f>
        <v>(APF 10)</v>
      </c>
      <c r="T118" s="106" t="s">
        <v>111</v>
      </c>
      <c r="U118" s="107" t="s">
        <v>111</v>
      </c>
      <c r="V118" s="107" t="s">
        <v>111</v>
      </c>
      <c r="W118" s="108" t="s">
        <v>111</v>
      </c>
    </row>
    <row r="119" spans="2:23" ht="15" thickBot="1" x14ac:dyDescent="0.4">
      <c r="B119" s="82" t="s">
        <v>476</v>
      </c>
      <c r="C119" s="83" t="s">
        <v>68</v>
      </c>
      <c r="D119" s="83" t="s">
        <v>107</v>
      </c>
      <c r="E119" s="98"/>
      <c r="F119" s="122"/>
      <c r="G119" s="99"/>
      <c r="H119" s="101"/>
      <c r="I119" s="101"/>
      <c r="J119" s="87" t="s">
        <v>112</v>
      </c>
      <c r="K119" s="88" t="str">
        <f>IFERROR(VLOOKUP($D119,$Y$9:$AB$10,2,FALSE)/IF($D119="Inhalation",IF($J119="Central Tendency",SUMIFS('Inhalation Exposure_Short-Term'!$F$7:$F$397,'Inhalation Exposure_Short-Term'!$B$7:$B$397,$B119,'Inhalation Exposure_Short-Term'!$D$7:$D$397,$C119),SUMIFS('Inhalation Exposure_Short-Term'!$G$7:$G$397,'Inhalation Exposure_Short-Term'!$B$7:$B$397,$B119,'Inhalation Exposure_Short-Term'!$D$7:$D$397,$C119)),IF($J119="Central Tendency",VLOOKUP($B119,'Dermal Exposure'!$A$6:$L$19,9,FALSE),VLOOKUP($B119,'Dermal Exposure'!$A$6:$L$19,4,FALSE))),"--")</f>
        <v>--</v>
      </c>
      <c r="L119" s="88">
        <f>IFERROR(VLOOKUP($D119,$Y$9:$AB$10,2,FALSE)/IF($D119="Inhalation",IF($J119="Central Tendency",SUMIFS('Inhalation Exposure_8-hr'!$H$6:$H$411,'Inhalation Exposure_8-hr'!$B$6:$B$411,$B119,'Inhalation Exposure_8-hr'!$D$6:$D$411,$C119),SUMIFS('Inhalation Exposure_8-hr'!$I$6:$I$411,'Inhalation Exposure_8-hr'!$B$6:$B$411,$B119,'Inhalation Exposure_8-hr'!$D$6:$D$411,$C119)),IF($J119="Central Tendency",VLOOKUP($B119,'Dermal Exposure'!$A$6:$L$19,9,FALSE),VLOOKUP($B119,'Dermal Exposure'!$A$6:$L$19,4,FALSE))),"--")</f>
        <v>1216.204348426111</v>
      </c>
      <c r="M119" s="88">
        <f>IFERROR(VLOOKUP($D119,$Y$9:$AB$10,3,FALSE)/IF($D119="Inhalation",IF($J119="Central Tendency",SUMIFS('Inhalation Exposure_8-hr'!$L$6:$L$411,'Inhalation Exposure_8-hr'!$B$6:$B$411,$B119,'Inhalation Exposure_8-hr'!$D$6:$D$411,$C119),SUMIFS('Inhalation Exposure_8-hr'!$M$6:$M$411,'Inhalation Exposure_8-hr'!$B$6:$B$411,$B119,'Inhalation Exposure_8-hr'!$D$6:$D$411,$C119)),IF($J119="Central Tendency",VLOOKUP($B119,'Dermal Exposure'!$A$6:$L$19,10,FALSE),VLOOKUP($B119,'Dermal Exposure'!$A$6:$L$19,5,FALSE))),"--")</f>
        <v>35.95956925193066</v>
      </c>
      <c r="N119" s="89">
        <f>IFERROR(VLOOKUP($D119,$Y$9:$AB$10,4,FALSE)/IF($D119="Inhalation",IF($J119="Central Tendency",SUMIFS('Inhalation Exposure_8-hr'!$N$6:$N$411,'Inhalation Exposure_8-hr'!$B$6:$B$411,$B119,'Inhalation Exposure_8-hr'!$D$6:$D$411,$C119),SUMIFS('Inhalation Exposure_8-hr'!$O$6:$O$411,'Inhalation Exposure_8-hr'!$B$6:$B$411,$B119,'Inhalation Exposure_8-hr'!$D$6:$D$411,$C119)),IF($J119="Central Tendency",VLOOKUP($B119,'Dermal Exposure'!$A$6:$L$19,11,FALSE),VLOOKUP($B119,'Dermal Exposure'!$A$6:$L$19,6,FALSE))),"--")</f>
        <v>38.500712145733765</v>
      </c>
      <c r="O119" s="91" t="str">
        <f>IFERROR(K119*T119, "--")</f>
        <v>--</v>
      </c>
      <c r="P119" s="91">
        <f>IFERROR(L119*U119, "--")</f>
        <v>12162.04348426111</v>
      </c>
      <c r="Q119" s="91">
        <f>IFERROR(M119*V119, "--")</f>
        <v>359.59569251930657</v>
      </c>
      <c r="R119" s="91">
        <f>IFERROR(N119*W119, "--")</f>
        <v>385.00712145733763</v>
      </c>
      <c r="T119" s="109">
        <v>10</v>
      </c>
      <c r="U119" s="110">
        <v>10</v>
      </c>
      <c r="V119" s="110">
        <v>10</v>
      </c>
      <c r="W119" s="111">
        <v>10</v>
      </c>
    </row>
    <row r="120" spans="2:23" ht="15" thickBot="1" x14ac:dyDescent="0.4">
      <c r="B120" s="82" t="s">
        <v>476</v>
      </c>
      <c r="C120" s="83" t="s">
        <v>68</v>
      </c>
      <c r="D120" s="83" t="s">
        <v>107</v>
      </c>
      <c r="E120" s="98"/>
      <c r="F120" s="122"/>
      <c r="G120" s="112"/>
      <c r="H120" s="101"/>
      <c r="I120" s="113"/>
      <c r="J120" s="102"/>
      <c r="K120" s="103"/>
      <c r="L120" s="103"/>
      <c r="M120" s="103"/>
      <c r="N120" s="104"/>
      <c r="O120" s="105" t="str">
        <f>CONCATENATE("(APF ",T119,")")</f>
        <v>(APF 10)</v>
      </c>
      <c r="P120" s="105" t="str">
        <f>CONCATENATE("(APF ",U119,")")</f>
        <v>(APF 10)</v>
      </c>
      <c r="Q120" s="105" t="str">
        <f>CONCATENATE("(APF ",V119,")")</f>
        <v>(APF 10)</v>
      </c>
      <c r="R120" s="105" t="str">
        <f>CONCATENATE("(APF ",W119,")")</f>
        <v>(APF 10)</v>
      </c>
      <c r="T120" s="114" t="s">
        <v>111</v>
      </c>
      <c r="U120" s="115" t="s">
        <v>111</v>
      </c>
      <c r="V120" s="115" t="s">
        <v>111</v>
      </c>
      <c r="W120" s="116" t="s">
        <v>111</v>
      </c>
    </row>
    <row r="121" spans="2:23" ht="15" thickBot="1" x14ac:dyDescent="0.4">
      <c r="B121" s="82" t="s">
        <v>477</v>
      </c>
      <c r="C121" s="83" t="s">
        <v>68</v>
      </c>
      <c r="D121" s="83" t="s">
        <v>107</v>
      </c>
      <c r="E121" s="98"/>
      <c r="F121" s="122"/>
      <c r="G121" s="85" t="s">
        <v>474</v>
      </c>
      <c r="H121" s="101"/>
      <c r="I121" s="86" t="s">
        <v>110</v>
      </c>
      <c r="J121" s="87" t="s">
        <v>71</v>
      </c>
      <c r="K121" s="88" t="str">
        <f>IFERROR(VLOOKUP($D121,$Y$9:$AB$10,2,FALSE)/IF($D121="Inhalation",IF($J121="Central Tendency",SUMIFS('Inhalation Exposure_Short-Term'!$F$7:$F$397,'Inhalation Exposure_Short-Term'!$B$7:$B$397,$B121,'Inhalation Exposure_Short-Term'!$D$7:$D$397,$C121),SUMIFS('Inhalation Exposure_Short-Term'!$G$7:$G$397,'Inhalation Exposure_Short-Term'!$B$7:$B$397,$B121,'Inhalation Exposure_Short-Term'!$D$7:$D$397,$C121)),IF($J121="Central Tendency",VLOOKUP($B121,'Dermal Exposure'!$A$6:$L$19,9,FALSE),VLOOKUP($B121,'Dermal Exposure'!$A$6:$L$19,4,FALSE))),"--")</f>
        <v>--</v>
      </c>
      <c r="L121" s="88">
        <f>IFERROR(VLOOKUP($D121,$Y$9:$AB$10,2,FALSE)/IF($D121="Inhalation",IF($J121="Central Tendency",SUMIFS('Inhalation Exposure_8-hr'!$H$6:$H$411,'Inhalation Exposure_8-hr'!$B$6:$B$411,$B121,'Inhalation Exposure_8-hr'!$D$6:$D$411,$C121),SUMIFS('Inhalation Exposure_8-hr'!$I$6:$I$411,'Inhalation Exposure_8-hr'!$B$6:$B$411,$B121,'Inhalation Exposure_8-hr'!$D$6:$D$411,$C121)),IF($J121="Central Tendency",VLOOKUP($B121,'Dermal Exposure'!$A$6:$L$19,9,FALSE),VLOOKUP($B121,'Dermal Exposure'!$A$6:$L$19,4,FALSE))),"--")</f>
        <v>2007.5069244906942</v>
      </c>
      <c r="M121" s="88">
        <f>IFERROR(VLOOKUP($D121,$Y$9:$AB$10,3,FALSE)/IF($D121="Inhalation",IF($J121="Central Tendency",SUMIFS('Inhalation Exposure_8-hr'!$L$6:$L$411,'Inhalation Exposure_8-hr'!$B$6:$B$411,$B121,'Inhalation Exposure_8-hr'!$D$6:$D$411,$C121),SUMIFS('Inhalation Exposure_8-hr'!$M$6:$M$411,'Inhalation Exposure_8-hr'!$B$6:$B$411,$B121,'Inhalation Exposure_8-hr'!$D$6:$D$411,$C121)),IF($J121="Central Tendency",VLOOKUP($B121,'Dermal Exposure'!$A$6:$L$19,10,FALSE),VLOOKUP($B121,'Dermal Exposure'!$A$6:$L$19,5,FALSE))),"--")</f>
        <v>59.356048486731098</v>
      </c>
      <c r="N121" s="89">
        <f>IFERROR(VLOOKUP($D121,$Y$9:$AB$10,4,FALSE)/IF($D121="Inhalation",IF($J121="Central Tendency",SUMIFS('Inhalation Exposure_8-hr'!$N$6:$N$411,'Inhalation Exposure_8-hr'!$B$6:$B$411,$B121,'Inhalation Exposure_8-hr'!$D$6:$D$411,$C121),SUMIFS('Inhalation Exposure_8-hr'!$O$6:$O$411,'Inhalation Exposure_8-hr'!$B$6:$B$411,$B121,'Inhalation Exposure_8-hr'!$D$6:$D$411,$C121)),IF($J121="Central Tendency",VLOOKUP($B121,'Dermal Exposure'!$A$6:$L$19,11,FALSE),VLOOKUP($B121,'Dermal Exposure'!$A$6:$L$19,6,FALSE))),"--")</f>
        <v>63.550542579793429</v>
      </c>
      <c r="O121" s="91" t="str">
        <f>IFERROR(K121*T121, "--")</f>
        <v>--</v>
      </c>
      <c r="P121" s="91">
        <f>IFERROR(L121*U121, "--")</f>
        <v>20075.069244906943</v>
      </c>
      <c r="Q121" s="91">
        <f>IFERROR(M121*V121, "--")</f>
        <v>593.56048486731095</v>
      </c>
      <c r="R121" s="91">
        <f>IFERROR(N121*W121, "--")</f>
        <v>635.50542579793432</v>
      </c>
      <c r="T121" s="92">
        <v>10</v>
      </c>
      <c r="U121" s="93">
        <v>10</v>
      </c>
      <c r="V121" s="93">
        <v>10</v>
      </c>
      <c r="W121" s="94">
        <v>10</v>
      </c>
    </row>
    <row r="122" spans="2:23" ht="15" thickBot="1" x14ac:dyDescent="0.4">
      <c r="B122" s="82" t="s">
        <v>477</v>
      </c>
      <c r="C122" s="83" t="s">
        <v>68</v>
      </c>
      <c r="D122" s="83" t="s">
        <v>107</v>
      </c>
      <c r="E122" s="98"/>
      <c r="F122" s="122"/>
      <c r="G122" s="99"/>
      <c r="H122" s="101"/>
      <c r="I122" s="101"/>
      <c r="J122" s="102"/>
      <c r="K122" s="103"/>
      <c r="L122" s="103"/>
      <c r="M122" s="103"/>
      <c r="N122" s="104"/>
      <c r="O122" s="105" t="str">
        <f>CONCATENATE("(APF ",T121,")")</f>
        <v>(APF 10)</v>
      </c>
      <c r="P122" s="105" t="str">
        <f>CONCATENATE("(APF ",U121,")")</f>
        <v>(APF 10)</v>
      </c>
      <c r="Q122" s="105" t="str">
        <f>CONCATENATE("(APF ",V121,")")</f>
        <v>(APF 10)</v>
      </c>
      <c r="R122" s="105" t="str">
        <f>CONCATENATE("(APF ",W121,")")</f>
        <v>(APF 10)</v>
      </c>
      <c r="T122" s="106" t="s">
        <v>111</v>
      </c>
      <c r="U122" s="107" t="s">
        <v>111</v>
      </c>
      <c r="V122" s="107" t="s">
        <v>111</v>
      </c>
      <c r="W122" s="108" t="s">
        <v>111</v>
      </c>
    </row>
    <row r="123" spans="2:23" ht="15" thickBot="1" x14ac:dyDescent="0.4">
      <c r="B123" s="82" t="s">
        <v>477</v>
      </c>
      <c r="C123" s="83" t="s">
        <v>68</v>
      </c>
      <c r="D123" s="83" t="s">
        <v>107</v>
      </c>
      <c r="E123" s="98"/>
      <c r="F123" s="122"/>
      <c r="G123" s="99"/>
      <c r="H123" s="101"/>
      <c r="I123" s="101"/>
      <c r="J123" s="87" t="s">
        <v>112</v>
      </c>
      <c r="K123" s="88" t="str">
        <f>IFERROR(VLOOKUP($D123,$Y$9:$AB$10,2,FALSE)/IF($D123="Inhalation",IF($J123="Central Tendency",SUMIFS('Inhalation Exposure_Short-Term'!$F$7:$F$397,'Inhalation Exposure_Short-Term'!$B$7:$B$397,$B123,'Inhalation Exposure_Short-Term'!$D$7:$D$397,$C123),SUMIFS('Inhalation Exposure_Short-Term'!$G$7:$G$397,'Inhalation Exposure_Short-Term'!$B$7:$B$397,$B123,'Inhalation Exposure_Short-Term'!$D$7:$D$397,$C123)),IF($J123="Central Tendency",VLOOKUP($B123,'Dermal Exposure'!$A$6:$L$19,9,FALSE),VLOOKUP($B123,'Dermal Exposure'!$A$6:$L$19,4,FALSE))),"--")</f>
        <v>--</v>
      </c>
      <c r="L123" s="88">
        <f>IFERROR(VLOOKUP($D123,$Y$9:$AB$10,2,FALSE)/IF($D123="Inhalation",IF($J123="Central Tendency",SUMIFS('Inhalation Exposure_8-hr'!$H$6:$H$411,'Inhalation Exposure_8-hr'!$B$6:$B$411,$B123,'Inhalation Exposure_8-hr'!$D$6:$D$411,$C123),SUMIFS('Inhalation Exposure_8-hr'!$I$6:$I$411,'Inhalation Exposure_8-hr'!$B$6:$B$411,$B123,'Inhalation Exposure_8-hr'!$D$6:$D$411,$C123)),IF($J123="Central Tendency",VLOOKUP($B123,'Dermal Exposure'!$A$6:$L$19,9,FALSE),VLOOKUP($B123,'Dermal Exposure'!$A$6:$L$19,4,FALSE))),"--")</f>
        <v>1338.337949660463</v>
      </c>
      <c r="M123" s="88">
        <f>IFERROR(VLOOKUP($D123,$Y$9:$AB$10,3,FALSE)/IF($D123="Inhalation",IF($J123="Central Tendency",SUMIFS('Inhalation Exposure_8-hr'!$L$6:$L$411,'Inhalation Exposure_8-hr'!$B$6:$B$411,$B123,'Inhalation Exposure_8-hr'!$D$6:$D$411,$C123),SUMIFS('Inhalation Exposure_8-hr'!$M$6:$M$411,'Inhalation Exposure_8-hr'!$B$6:$B$411,$B123,'Inhalation Exposure_8-hr'!$D$6:$D$411,$C123)),IF($J123="Central Tendency",VLOOKUP($B123,'Dermal Exposure'!$A$6:$L$19,10,FALSE),VLOOKUP($B123,'Dermal Exposure'!$A$6:$L$19,5,FALSE))),"--")</f>
        <v>39.570698991154067</v>
      </c>
      <c r="N123" s="89">
        <f>IFERROR(VLOOKUP($D123,$Y$9:$AB$10,4,FALSE)/IF($D123="Inhalation",IF($J123="Central Tendency",SUMIFS('Inhalation Exposure_8-hr'!$N$6:$N$411,'Inhalation Exposure_8-hr'!$B$6:$B$411,$B123,'Inhalation Exposure_8-hr'!$D$6:$D$411,$C123),SUMIFS('Inhalation Exposure_8-hr'!$O$6:$O$411,'Inhalation Exposure_8-hr'!$B$6:$B$411,$B123,'Inhalation Exposure_8-hr'!$D$6:$D$411,$C123)),IF($J123="Central Tendency",VLOOKUP($B123,'Dermal Exposure'!$A$6:$L$19,11,FALSE),VLOOKUP($B123,'Dermal Exposure'!$A$6:$L$19,6,FALSE))),"--")</f>
        <v>42.367028386528958</v>
      </c>
      <c r="O123" s="91" t="str">
        <f>IFERROR(K123*T123, "--")</f>
        <v>--</v>
      </c>
      <c r="P123" s="91">
        <f>IFERROR(L123*U123, "--")</f>
        <v>13383.37949660463</v>
      </c>
      <c r="Q123" s="91">
        <f>IFERROR(M123*V123, "--")</f>
        <v>395.70698991154069</v>
      </c>
      <c r="R123" s="91">
        <f>IFERROR(N123*W123, "--")</f>
        <v>2118.3514193264477</v>
      </c>
      <c r="T123" s="109">
        <v>10</v>
      </c>
      <c r="U123" s="110">
        <v>10</v>
      </c>
      <c r="V123" s="110">
        <v>10</v>
      </c>
      <c r="W123" s="111">
        <v>50</v>
      </c>
    </row>
    <row r="124" spans="2:23" ht="15" thickBot="1" x14ac:dyDescent="0.4">
      <c r="B124" s="82" t="s">
        <v>477</v>
      </c>
      <c r="C124" s="83" t="s">
        <v>68</v>
      </c>
      <c r="D124" s="83" t="s">
        <v>107</v>
      </c>
      <c r="E124" s="98"/>
      <c r="F124" s="122"/>
      <c r="G124" s="112"/>
      <c r="H124" s="113"/>
      <c r="I124" s="113"/>
      <c r="J124" s="102"/>
      <c r="K124" s="103"/>
      <c r="L124" s="103"/>
      <c r="M124" s="103"/>
      <c r="N124" s="104"/>
      <c r="O124" s="105" t="str">
        <f>CONCATENATE("(APF ",T123,")")</f>
        <v>(APF 10)</v>
      </c>
      <c r="P124" s="105" t="str">
        <f>CONCATENATE("(APF ",U123,")")</f>
        <v>(APF 10)</v>
      </c>
      <c r="Q124" s="105" t="str">
        <f>CONCATENATE("(APF ",V123,")")</f>
        <v>(APF 10)</v>
      </c>
      <c r="R124" s="105" t="str">
        <f>CONCATENATE("(APF ",W123,")")</f>
        <v>(APF 50)</v>
      </c>
      <c r="T124" s="114" t="s">
        <v>111</v>
      </c>
      <c r="U124" s="115" t="s">
        <v>111</v>
      </c>
      <c r="V124" s="115" t="s">
        <v>111</v>
      </c>
      <c r="W124" s="116" t="s">
        <v>111</v>
      </c>
    </row>
    <row r="125" spans="2:23" ht="15.75" customHeight="1" thickBot="1" x14ac:dyDescent="0.4">
      <c r="B125" s="82" t="s">
        <v>541</v>
      </c>
      <c r="C125" s="83" t="s">
        <v>80</v>
      </c>
      <c r="D125" s="83" t="s">
        <v>107</v>
      </c>
      <c r="E125" s="98"/>
      <c r="F125" s="122"/>
      <c r="G125" s="85" t="s">
        <v>540</v>
      </c>
      <c r="H125" s="86" t="s">
        <v>80</v>
      </c>
      <c r="I125" s="86" t="s">
        <v>110</v>
      </c>
      <c r="J125" s="87" t="s">
        <v>71</v>
      </c>
      <c r="K125" s="88" t="str">
        <f>IFERROR(VLOOKUP($D125,$Y$9:$AB$10,2,FALSE)/IF($D125="Inhalation",IF($J125="Central Tendency",SUMIFS('Inhalation Exposure_Short-Term'!$F$7:$F$397,'Inhalation Exposure_Short-Term'!$B$7:$B$397,$B125,'Inhalation Exposure_Short-Term'!$D$7:$D$397,$C125),SUMIFS('Inhalation Exposure_Short-Term'!$G$7:$G$397,'Inhalation Exposure_Short-Term'!$B$7:$B$397,$B125,'Inhalation Exposure_Short-Term'!$D$7:$D$397,$C125)),IF($J125="Central Tendency",VLOOKUP($B125,'Dermal Exposure'!$A$6:$L$19,9,FALSE),VLOOKUP($B125,'Dermal Exposure'!$A$6:$L$19,4,FALSE))),"--")</f>
        <v>--</v>
      </c>
      <c r="L125" s="88">
        <f>IFERROR(VLOOKUP($D125,$Y$9:$AB$10,2,FALSE)/IF($D125="Inhalation",IF($J125="Central Tendency",SUMIFS('Inhalation Exposure_8-hr'!$H$6:$H$411,'Inhalation Exposure_8-hr'!$B$6:$B$411,$B125,'Inhalation Exposure_8-hr'!$D$6:$D$411,$C125),SUMIFS('Inhalation Exposure_8-hr'!$I$6:$I$411,'Inhalation Exposure_8-hr'!$B$6:$B$411,$B125,'Inhalation Exposure_8-hr'!$D$6:$D$411,$C125)),IF($J125="Central Tendency",VLOOKUP($B125,'Dermal Exposure'!$A$6:$L$19,9,FALSE),VLOOKUP($B125,'Dermal Exposure'!$A$6:$L$19,4,FALSE))),"--")</f>
        <v>6339.9707320408024</v>
      </c>
      <c r="M125" s="88">
        <f>IFERROR(VLOOKUP($D125,$Y$9:$AB$10,3,FALSE)/IF($D125="Inhalation",IF($J125="Central Tendency",SUMIFS('Inhalation Exposure_8-hr'!$L$6:$L$411,'Inhalation Exposure_8-hr'!$B$6:$B$411,$B125,'Inhalation Exposure_8-hr'!$D$6:$D$411,$C125),SUMIFS('Inhalation Exposure_8-hr'!$M$6:$M$411,'Inhalation Exposure_8-hr'!$B$6:$B$411,$B125,'Inhalation Exposure_8-hr'!$D$6:$D$411,$C125)),IF($J125="Central Tendency",VLOOKUP($B125,'Dermal Exposure'!$A$6:$L$19,10,FALSE),VLOOKUP($B125,'Dermal Exposure'!$A$6:$L$19,5,FALSE))),"--")</f>
        <v>187.45420281473821</v>
      </c>
      <c r="N125" s="89">
        <f>IFERROR(VLOOKUP($D125,$Y$9:$AB$10,4,FALSE)/IF($D125="Inhalation",IF($J125="Central Tendency",SUMIFS('Inhalation Exposure_8-hr'!$N$6:$N$411,'Inhalation Exposure_8-hr'!$B$6:$B$411,$B125,'Inhalation Exposure_8-hr'!$D$6:$D$411,$C125),SUMIFS('Inhalation Exposure_8-hr'!$O$6:$O$411,'Inhalation Exposure_8-hr'!$B$6:$B$411,$B125,'Inhalation Exposure_8-hr'!$D$6:$D$411,$C125)),IF($J125="Central Tendency",VLOOKUP($B125,'Dermal Exposure'!$A$6:$L$19,11,FALSE),VLOOKUP($B125,'Dermal Exposure'!$A$6:$L$19,6,FALSE))),"--")</f>
        <v>200.70096648031304</v>
      </c>
      <c r="O125" s="91" t="str">
        <f>IFERROR(K125*T125, "--")</f>
        <v>--</v>
      </c>
      <c r="P125" s="91">
        <f>IFERROR(L125*U125, "--")</f>
        <v>63399.707320408022</v>
      </c>
      <c r="Q125" s="91">
        <f>IFERROR(M125*V125, "--")</f>
        <v>1874.5420281473821</v>
      </c>
      <c r="R125" s="91">
        <f>IFERROR(N125*W125, "--")</f>
        <v>10035.048324015652</v>
      </c>
      <c r="T125" s="92">
        <v>10</v>
      </c>
      <c r="U125" s="93">
        <v>10</v>
      </c>
      <c r="V125" s="93">
        <v>10</v>
      </c>
      <c r="W125" s="94">
        <v>50</v>
      </c>
    </row>
    <row r="126" spans="2:23" ht="15" thickBot="1" x14ac:dyDescent="0.4">
      <c r="B126" s="82" t="s">
        <v>541</v>
      </c>
      <c r="C126" s="83" t="s">
        <v>80</v>
      </c>
      <c r="D126" s="83" t="s">
        <v>107</v>
      </c>
      <c r="E126" s="98"/>
      <c r="F126" s="122"/>
      <c r="G126" s="99"/>
      <c r="H126" s="100"/>
      <c r="I126" s="101"/>
      <c r="J126" s="102"/>
      <c r="K126" s="103"/>
      <c r="L126" s="103"/>
      <c r="M126" s="103"/>
      <c r="N126" s="104"/>
      <c r="O126" s="105" t="str">
        <f>CONCATENATE("(APF ",T125,")")</f>
        <v>(APF 10)</v>
      </c>
      <c r="P126" s="105" t="str">
        <f>CONCATENATE("(APF ",U125,")")</f>
        <v>(APF 10)</v>
      </c>
      <c r="Q126" s="105" t="str">
        <f>CONCATENATE("(APF ",V125,")")</f>
        <v>(APF 10)</v>
      </c>
      <c r="R126" s="105" t="str">
        <f>CONCATENATE("(APF ",W125,")")</f>
        <v>(APF 50)</v>
      </c>
      <c r="T126" s="106" t="s">
        <v>111</v>
      </c>
      <c r="U126" s="107" t="s">
        <v>111</v>
      </c>
      <c r="V126" s="107" t="s">
        <v>111</v>
      </c>
      <c r="W126" s="108" t="s">
        <v>111</v>
      </c>
    </row>
    <row r="127" spans="2:23" ht="15" thickBot="1" x14ac:dyDescent="0.4">
      <c r="B127" s="82" t="s">
        <v>541</v>
      </c>
      <c r="C127" s="83" t="s">
        <v>80</v>
      </c>
      <c r="D127" s="83" t="s">
        <v>107</v>
      </c>
      <c r="E127" s="98"/>
      <c r="F127" s="122"/>
      <c r="G127" s="99"/>
      <c r="H127" s="100"/>
      <c r="I127" s="101"/>
      <c r="J127" s="87" t="s">
        <v>112</v>
      </c>
      <c r="K127" s="88" t="str">
        <f>IFERROR(VLOOKUP($D127,$Y$9:$AB$10,2,FALSE)/IF($D127="Inhalation",IF($J127="Central Tendency",SUMIFS('Inhalation Exposure_Short-Term'!$F$7:$F$397,'Inhalation Exposure_Short-Term'!$B$7:$B$397,$B127,'Inhalation Exposure_Short-Term'!$D$7:$D$397,$C127),SUMIFS('Inhalation Exposure_Short-Term'!$G$7:$G$397,'Inhalation Exposure_Short-Term'!$B$7:$B$397,$B127,'Inhalation Exposure_Short-Term'!$D$7:$D$397,$C127)),IF($J127="Central Tendency",VLOOKUP($B127,'Dermal Exposure'!$A$6:$L$19,9,FALSE),VLOOKUP($B127,'Dermal Exposure'!$A$6:$L$19,4,FALSE))),"--")</f>
        <v>--</v>
      </c>
      <c r="L127" s="88">
        <f>IFERROR(VLOOKUP($D127,$Y$9:$AB$10,2,FALSE)/IF($D127="Inhalation",IF($J127="Central Tendency",SUMIFS('Inhalation Exposure_8-hr'!$H$6:$H$411,'Inhalation Exposure_8-hr'!$B$6:$B$411,$B127,'Inhalation Exposure_8-hr'!$D$6:$D$411,$C127),SUMIFS('Inhalation Exposure_8-hr'!$I$6:$I$411,'Inhalation Exposure_8-hr'!$B$6:$B$411,$B127,'Inhalation Exposure_8-hr'!$D$6:$D$411,$C127)),IF($J127="Central Tendency",VLOOKUP($B127,'Dermal Exposure'!$A$6:$L$19,9,FALSE),VLOOKUP($B127,'Dermal Exposure'!$A$6:$L$19,4,FALSE))),"--")</f>
        <v>334.7168912486793</v>
      </c>
      <c r="M127" s="88">
        <f>IFERROR(VLOOKUP($D127,$Y$9:$AB$10,3,FALSE)/IF($D127="Inhalation",IF($J127="Central Tendency",SUMIFS('Inhalation Exposure_8-hr'!$L$6:$L$411,'Inhalation Exposure_8-hr'!$B$6:$B$411,$B127,'Inhalation Exposure_8-hr'!$D$6:$D$411,$C127),SUMIFS('Inhalation Exposure_8-hr'!$M$6:$M$411,'Inhalation Exposure_8-hr'!$B$6:$B$411,$B127,'Inhalation Exposure_8-hr'!$D$6:$D$411,$C127)),IF($J127="Central Tendency",VLOOKUP($B127,'Dermal Exposure'!$A$6:$L$19,10,FALSE),VLOOKUP($B127,'Dermal Exposure'!$A$6:$L$19,5,FALSE))),"--")</f>
        <v>9.8965895379538473</v>
      </c>
      <c r="N127" s="89">
        <f>IFERROR(VLOOKUP($D127,$Y$9:$AB$10,4,FALSE)/IF($D127="Inhalation",IF($J127="Central Tendency",SUMIFS('Inhalation Exposure_8-hr'!$N$6:$N$411,'Inhalation Exposure_8-hr'!$B$6:$B$411,$B127,'Inhalation Exposure_8-hr'!$D$6:$D$411,$C127),SUMIFS('Inhalation Exposure_8-hr'!$O$6:$O$411,'Inhalation Exposure_8-hr'!$B$6:$B$411,$B127,'Inhalation Exposure_8-hr'!$D$6:$D$411,$C127)),IF($J127="Central Tendency",VLOOKUP($B127,'Dermal Exposure'!$A$6:$L$19,11,FALSE),VLOOKUP($B127,'Dermal Exposure'!$A$6:$L$19,6,FALSE))),"--")</f>
        <v>10.595948531969253</v>
      </c>
      <c r="O127" s="91" t="str">
        <f>IFERROR(K127*T127, "--")</f>
        <v>--</v>
      </c>
      <c r="P127" s="91">
        <f>IFERROR(L127*U127, "--")</f>
        <v>3347.168912486793</v>
      </c>
      <c r="Q127" s="91">
        <f>IFERROR(M127*V127, "--")</f>
        <v>494.82947689769236</v>
      </c>
      <c r="R127" s="91">
        <f>IFERROR(N127*W127, "--")</f>
        <v>529.79742659846261</v>
      </c>
      <c r="T127" s="109">
        <v>10</v>
      </c>
      <c r="U127" s="110">
        <v>10</v>
      </c>
      <c r="V127" s="110">
        <v>50</v>
      </c>
      <c r="W127" s="111">
        <v>50</v>
      </c>
    </row>
    <row r="128" spans="2:23" ht="15" thickBot="1" x14ac:dyDescent="0.4">
      <c r="B128" s="82" t="s">
        <v>541</v>
      </c>
      <c r="C128" s="83" t="s">
        <v>80</v>
      </c>
      <c r="D128" s="83" t="s">
        <v>107</v>
      </c>
      <c r="E128" s="98"/>
      <c r="F128" s="122"/>
      <c r="G128" s="112"/>
      <c r="H128" s="118"/>
      <c r="I128" s="113"/>
      <c r="J128" s="102"/>
      <c r="K128" s="103"/>
      <c r="L128" s="103"/>
      <c r="M128" s="103"/>
      <c r="N128" s="104"/>
      <c r="O128" s="105" t="str">
        <f>CONCATENATE("(APF ",T127,")")</f>
        <v>(APF 10)</v>
      </c>
      <c r="P128" s="105" t="str">
        <f>CONCATENATE("(APF ",U127,")")</f>
        <v>(APF 10)</v>
      </c>
      <c r="Q128" s="105" t="str">
        <f>CONCATENATE("(APF ",V127,")")</f>
        <v>(APF 50)</v>
      </c>
      <c r="R128" s="105" t="str">
        <f>CONCATENATE("(APF ",W127,")")</f>
        <v>(APF 50)</v>
      </c>
      <c r="T128" s="114" t="s">
        <v>111</v>
      </c>
      <c r="U128" s="115" t="s">
        <v>111</v>
      </c>
      <c r="V128" s="115" t="s">
        <v>111</v>
      </c>
      <c r="W128" s="116" t="s">
        <v>111</v>
      </c>
    </row>
    <row r="129" spans="2:23" ht="15.75" customHeight="1" thickBot="1" x14ac:dyDescent="0.4">
      <c r="B129" s="82" t="s">
        <v>479</v>
      </c>
      <c r="C129" s="83" t="s">
        <v>68</v>
      </c>
      <c r="D129" s="83" t="s">
        <v>107</v>
      </c>
      <c r="E129" s="98"/>
      <c r="F129" s="84" t="s">
        <v>519</v>
      </c>
      <c r="G129" s="85" t="s">
        <v>485</v>
      </c>
      <c r="H129" s="86" t="s">
        <v>68</v>
      </c>
      <c r="I129" s="86" t="s">
        <v>110</v>
      </c>
      <c r="J129" s="86" t="s">
        <v>71</v>
      </c>
      <c r="K129" s="88" t="str">
        <f>IFERROR(VLOOKUP($D129,$Y$9:$AB$10,2,FALSE)/IF($D129="Inhalation",IF($J129="Central Tendency",SUMIFS('Inhalation Exposure_Short-Term'!$F$7:$F$397,'Inhalation Exposure_Short-Term'!$B$7:$B$397,$B129,'Inhalation Exposure_Short-Term'!$D$7:$D$397,$C129),SUMIFS('Inhalation Exposure_Short-Term'!$G$7:$G$397,'Inhalation Exposure_Short-Term'!$B$7:$B$397,$B129,'Inhalation Exposure_Short-Term'!$D$7:$D$397,$C129)),IF($J129="Central Tendency",VLOOKUP($B129,'Dermal Exposure'!$A$6:$L$19,9,FALSE),VLOOKUP($B129,'Dermal Exposure'!$A$6:$L$19,4,FALSE))),"--")</f>
        <v>--</v>
      </c>
      <c r="L129" s="88">
        <f>IFERROR(VLOOKUP($D129,$Y$9:$AB$10,2,FALSE)/IF($D129="Inhalation",IF($J129="Central Tendency",SUMIFS('Inhalation Exposure_8-hr'!$H$6:$H$411,'Inhalation Exposure_8-hr'!$B$6:$B$411,$B129,'Inhalation Exposure_8-hr'!$D$6:$D$411,$C129),SUMIFS('Inhalation Exposure_8-hr'!$I$6:$I$411,'Inhalation Exposure_8-hr'!$B$6:$B$411,$B129,'Inhalation Exposure_8-hr'!$D$6:$D$411,$C129)),IF($J129="Central Tendency",VLOOKUP($B129,'Dermal Exposure'!$A$6:$L$19,9,FALSE),VLOOKUP($B129,'Dermal Exposure'!$A$6:$L$19,4,FALSE))),"--")</f>
        <v>114924.13434764829</v>
      </c>
      <c r="M129" s="88">
        <f>IFERROR(VLOOKUP($D129,$Y$9:$AB$10,3,FALSE)/IF($D129="Inhalation",IF($J129="Central Tendency",SUMIFS('Inhalation Exposure_8-hr'!$L$6:$L$411,'Inhalation Exposure_8-hr'!$B$6:$B$411,$B129,'Inhalation Exposure_8-hr'!$D$6:$D$411,$C129),SUMIFS('Inhalation Exposure_8-hr'!$M$6:$M$411,'Inhalation Exposure_8-hr'!$B$6:$B$411,$B129,'Inhalation Exposure_8-hr'!$D$6:$D$411,$C129)),IF($J129="Central Tendency",VLOOKUP($B129,'Dermal Exposure'!$A$6:$L$19,10,FALSE),VLOOKUP($B129,'Dermal Exposure'!$A$6:$L$19,5,FALSE))),"--")</f>
        <v>3397.9671040812059</v>
      </c>
      <c r="N129" s="89">
        <f>IFERROR(VLOOKUP($D129,$Y$9:$AB$10,4,FALSE)/IF($D129="Inhalation",IF($J129="Central Tendency",SUMIFS('Inhalation Exposure_8-hr'!$N$6:$N$411,'Inhalation Exposure_8-hr'!$B$6:$B$411,$B129,'Inhalation Exposure_8-hr'!$D$6:$D$411,$C129),SUMIFS('Inhalation Exposure_8-hr'!$O$6:$O$411,'Inhalation Exposure_8-hr'!$B$6:$B$411,$B129,'Inhalation Exposure_8-hr'!$D$6:$D$411,$C129)),IF($J129="Central Tendency",VLOOKUP($B129,'Dermal Exposure'!$A$6:$L$19,11,FALSE),VLOOKUP($B129,'Dermal Exposure'!$A$6:$L$19,6,FALSE))),"--")</f>
        <v>3638.0901127696102</v>
      </c>
      <c r="O129" s="91" t="str">
        <f>IFERROR(K129*T129, "--")</f>
        <v>--</v>
      </c>
      <c r="P129" s="91">
        <f>IFERROR(L129*U129, "--")</f>
        <v>1149241.3434764829</v>
      </c>
      <c r="Q129" s="91">
        <f>IFERROR(M129*V129, "--")</f>
        <v>33979.671040812056</v>
      </c>
      <c r="R129" s="91">
        <f>IFERROR(N129*W129, "--")</f>
        <v>36380.901127696103</v>
      </c>
      <c r="T129" s="92">
        <v>10</v>
      </c>
      <c r="U129" s="93">
        <v>10</v>
      </c>
      <c r="V129" s="93">
        <v>10</v>
      </c>
      <c r="W129" s="94">
        <v>10</v>
      </c>
    </row>
    <row r="130" spans="2:23" ht="15" thickBot="1" x14ac:dyDescent="0.4">
      <c r="B130" s="82" t="s">
        <v>479</v>
      </c>
      <c r="C130" s="83" t="s">
        <v>68</v>
      </c>
      <c r="D130" s="83" t="s">
        <v>107</v>
      </c>
      <c r="E130" s="98"/>
      <c r="F130" s="122"/>
      <c r="G130" s="99"/>
      <c r="H130" s="100"/>
      <c r="I130" s="101"/>
      <c r="J130" s="113"/>
      <c r="K130" s="103"/>
      <c r="L130" s="103"/>
      <c r="M130" s="103"/>
      <c r="N130" s="104"/>
      <c r="O130" s="105" t="str">
        <f>CONCATENATE("(APF ",T129,")")</f>
        <v>(APF 10)</v>
      </c>
      <c r="P130" s="105" t="str">
        <f>CONCATENATE("(APF ",U129,")")</f>
        <v>(APF 10)</v>
      </c>
      <c r="Q130" s="105" t="str">
        <f>CONCATENATE("(APF ",V129,")")</f>
        <v>(APF 10)</v>
      </c>
      <c r="R130" s="105" t="str">
        <f>CONCATENATE("(APF ",W129,")")</f>
        <v>(APF 10)</v>
      </c>
      <c r="T130" s="106" t="s">
        <v>111</v>
      </c>
      <c r="U130" s="107" t="s">
        <v>111</v>
      </c>
      <c r="V130" s="107" t="s">
        <v>111</v>
      </c>
      <c r="W130" s="108" t="s">
        <v>111</v>
      </c>
    </row>
    <row r="131" spans="2:23" ht="15" thickBot="1" x14ac:dyDescent="0.4">
      <c r="B131" s="82" t="s">
        <v>479</v>
      </c>
      <c r="C131" s="83" t="s">
        <v>68</v>
      </c>
      <c r="D131" s="83" t="s">
        <v>107</v>
      </c>
      <c r="E131" s="98"/>
      <c r="F131" s="122"/>
      <c r="G131" s="99"/>
      <c r="H131" s="100"/>
      <c r="I131" s="101"/>
      <c r="J131" s="86" t="s">
        <v>112</v>
      </c>
      <c r="K131" s="88" t="str">
        <f>IFERROR(VLOOKUP($D131,$Y$9:$AB$10,2,FALSE)/IF($D131="Inhalation",IF($J131="Central Tendency",SUMIFS('Inhalation Exposure_Short-Term'!$F$7:$F$397,'Inhalation Exposure_Short-Term'!$B$7:$B$397,$B131,'Inhalation Exposure_Short-Term'!$D$7:$D$397,$C131),SUMIFS('Inhalation Exposure_Short-Term'!$G$7:$G$397,'Inhalation Exposure_Short-Term'!$B$7:$B$397,$B131,'Inhalation Exposure_Short-Term'!$D$7:$D$397,$C131)),IF($J131="Central Tendency",VLOOKUP($B131,'Dermal Exposure'!$A$6:$L$19,9,FALSE),VLOOKUP($B131,'Dermal Exposure'!$A$6:$L$19,4,FALSE))),"--")</f>
        <v>--</v>
      </c>
      <c r="L131" s="88">
        <f>IFERROR(VLOOKUP($D131,$Y$9:$AB$10,2,FALSE)/IF($D131="Inhalation",IF($J131="Central Tendency",SUMIFS('Inhalation Exposure_8-hr'!$H$6:$H$411,'Inhalation Exposure_8-hr'!$B$6:$B$411,$B131,'Inhalation Exposure_8-hr'!$D$6:$D$411,$C131),SUMIFS('Inhalation Exposure_8-hr'!$I$6:$I$411,'Inhalation Exposure_8-hr'!$B$6:$B$411,$B131,'Inhalation Exposure_8-hr'!$D$6:$D$411,$C131)),IF($J131="Central Tendency",VLOOKUP($B131,'Dermal Exposure'!$A$6:$L$19,9,FALSE),VLOOKUP($B131,'Dermal Exposure'!$A$6:$L$19,4,FALSE))),"--")</f>
        <v>114707.70471610842</v>
      </c>
      <c r="M131" s="88">
        <f>IFERROR(VLOOKUP($D131,$Y$9:$AB$10,3,FALSE)/IF($D131="Inhalation",IF($J131="Central Tendency",SUMIFS('Inhalation Exposure_8-hr'!$L$6:$L$411,'Inhalation Exposure_8-hr'!$B$6:$B$411,$B131,'Inhalation Exposure_8-hr'!$D$6:$D$411,$C131),SUMIFS('Inhalation Exposure_8-hr'!$M$6:$M$411,'Inhalation Exposure_8-hr'!$B$6:$B$411,$B131,'Inhalation Exposure_8-hr'!$D$6:$D$411,$C131)),IF($J131="Central Tendency",VLOOKUP($B131,'Dermal Exposure'!$A$6:$L$19,10,FALSE),VLOOKUP($B131,'Dermal Exposure'!$A$6:$L$19,5,FALSE))),"--")</f>
        <v>3391.5679193277551</v>
      </c>
      <c r="N131" s="89">
        <f>IFERROR(VLOOKUP($D131,$Y$9:$AB$10,4,FALSE)/IF($D131="Inhalation",IF($J131="Central Tendency",SUMIFS('Inhalation Exposure_8-hr'!$N$6:$N$411,'Inhalation Exposure_8-hr'!$B$6:$B$411,$B131,'Inhalation Exposure_8-hr'!$D$6:$D$411,$C131),SUMIFS('Inhalation Exposure_8-hr'!$O$6:$O$411,'Inhalation Exposure_8-hr'!$B$6:$B$411,$B131,'Inhalation Exposure_8-hr'!$D$6:$D$411,$C131)),IF($J131="Central Tendency",VLOOKUP($B131,'Dermal Exposure'!$A$6:$L$19,11,FALSE),VLOOKUP($B131,'Dermal Exposure'!$A$6:$L$19,6,FALSE))),"--")</f>
        <v>3631.23871896025</v>
      </c>
      <c r="O131" s="91" t="str">
        <f>IFERROR(K131*T131, "--")</f>
        <v>--</v>
      </c>
      <c r="P131" s="91">
        <f>IFERROR(L131*U131, "--")</f>
        <v>1147077.0471610841</v>
      </c>
      <c r="Q131" s="91">
        <f>IFERROR(M131*V131, "--")</f>
        <v>169578.39596638776</v>
      </c>
      <c r="R131" s="91">
        <f>IFERROR(N131*W131, "--")</f>
        <v>181561.93594801251</v>
      </c>
      <c r="T131" s="109">
        <v>10</v>
      </c>
      <c r="U131" s="110">
        <v>10</v>
      </c>
      <c r="V131" s="110">
        <v>50</v>
      </c>
      <c r="W131" s="111">
        <v>50</v>
      </c>
    </row>
    <row r="132" spans="2:23" ht="15" thickBot="1" x14ac:dyDescent="0.4">
      <c r="B132" s="82" t="s">
        <v>479</v>
      </c>
      <c r="C132" s="83" t="s">
        <v>68</v>
      </c>
      <c r="D132" s="83" t="s">
        <v>107</v>
      </c>
      <c r="E132" s="98"/>
      <c r="F132" s="122"/>
      <c r="G132" s="112"/>
      <c r="H132" s="100"/>
      <c r="I132" s="113"/>
      <c r="J132" s="113"/>
      <c r="K132" s="103"/>
      <c r="L132" s="103"/>
      <c r="M132" s="103"/>
      <c r="N132" s="104"/>
      <c r="O132" s="105" t="str">
        <f>CONCATENATE("(APF ",T131,")")</f>
        <v>(APF 10)</v>
      </c>
      <c r="P132" s="105" t="str">
        <f>CONCATENATE("(APF ",U131,")")</f>
        <v>(APF 10)</v>
      </c>
      <c r="Q132" s="105" t="str">
        <f>CONCATENATE("(APF ",V131,")")</f>
        <v>(APF 50)</v>
      </c>
      <c r="R132" s="105" t="str">
        <f>CONCATENATE("(APF ",W131,")")</f>
        <v>(APF 50)</v>
      </c>
      <c r="T132" s="114" t="s">
        <v>111</v>
      </c>
      <c r="U132" s="115" t="s">
        <v>111</v>
      </c>
      <c r="V132" s="115" t="s">
        <v>111</v>
      </c>
      <c r="W132" s="116" t="s">
        <v>111</v>
      </c>
    </row>
    <row r="133" spans="2:23" ht="15.75" customHeight="1" thickBot="1" x14ac:dyDescent="0.4">
      <c r="B133" s="82" t="s">
        <v>480</v>
      </c>
      <c r="C133" s="83" t="s">
        <v>68</v>
      </c>
      <c r="D133" s="83" t="s">
        <v>107</v>
      </c>
      <c r="E133" s="98"/>
      <c r="F133" s="122"/>
      <c r="G133" s="85" t="s">
        <v>486</v>
      </c>
      <c r="H133" s="100"/>
      <c r="I133" s="86" t="s">
        <v>110</v>
      </c>
      <c r="J133" s="86" t="s">
        <v>71</v>
      </c>
      <c r="K133" s="88" t="str">
        <f>IFERROR(VLOOKUP($D133,$Y$9:$AB$10,2,FALSE)/IF($D133="Inhalation",IF($J133="Central Tendency",SUMIFS('Inhalation Exposure_Short-Term'!$F$7:$F$397,'Inhalation Exposure_Short-Term'!$B$7:$B$397,$B133,'Inhalation Exposure_Short-Term'!$D$7:$D$397,$C133),SUMIFS('Inhalation Exposure_Short-Term'!$G$7:$G$397,'Inhalation Exposure_Short-Term'!$B$7:$B$397,$B133,'Inhalation Exposure_Short-Term'!$D$7:$D$397,$C133)),IF($J133="Central Tendency",VLOOKUP($B133,'Dermal Exposure'!$A$6:$L$19,9,FALSE),VLOOKUP($B133,'Dermal Exposure'!$A$6:$L$19,4,FALSE))),"--")</f>
        <v>--</v>
      </c>
      <c r="L133" s="88">
        <f>IFERROR(VLOOKUP($D133,$Y$9:$AB$10,2,FALSE)/IF($D133="Inhalation",IF($J133="Central Tendency",SUMIFS('Inhalation Exposure_8-hr'!$H$6:$H$411,'Inhalation Exposure_8-hr'!$B$6:$B$411,$B133,'Inhalation Exposure_8-hr'!$D$6:$D$411,$C133),SUMIFS('Inhalation Exposure_8-hr'!$I$6:$I$411,'Inhalation Exposure_8-hr'!$B$6:$B$411,$B133,'Inhalation Exposure_8-hr'!$D$6:$D$411,$C133)),IF($J133="Central Tendency",VLOOKUP($B133,'Dermal Exposure'!$A$6:$L$19,9,FALSE),VLOOKUP($B133,'Dermal Exposure'!$A$6:$L$19,4,FALSE))),"--")</f>
        <v>4664.5013833754365</v>
      </c>
      <c r="M133" s="88">
        <f>IFERROR(VLOOKUP($D133,$Y$9:$AB$10,3,FALSE)/IF($D133="Inhalation",IF($J133="Central Tendency",SUMIFS('Inhalation Exposure_8-hr'!$L$6:$L$411,'Inhalation Exposure_8-hr'!$B$6:$B$411,$B133,'Inhalation Exposure_8-hr'!$D$6:$D$411,$C133),SUMIFS('Inhalation Exposure_8-hr'!$M$6:$M$411,'Inhalation Exposure_8-hr'!$B$6:$B$411,$B133,'Inhalation Exposure_8-hr'!$D$6:$D$411,$C133)),IF($J133="Central Tendency",VLOOKUP($B133,'Dermal Exposure'!$A$6:$L$19,10,FALSE),VLOOKUP($B133,'Dermal Exposure'!$A$6:$L$19,5,FALSE))),"--")</f>
        <v>137.91552442505167</v>
      </c>
      <c r="N133" s="89">
        <f>IFERROR(VLOOKUP($D133,$Y$9:$AB$10,4,FALSE)/IF($D133="Inhalation",IF($J133="Central Tendency",SUMIFS('Inhalation Exposure_8-hr'!$N$6:$N$411,'Inhalation Exposure_8-hr'!$B$6:$B$411,$B133,'Inhalation Exposure_8-hr'!$D$6:$D$411,$C133),SUMIFS('Inhalation Exposure_8-hr'!$O$6:$O$411,'Inhalation Exposure_8-hr'!$B$6:$B$411,$B133,'Inhalation Exposure_8-hr'!$D$6:$D$411,$C133)),IF($J133="Central Tendency",VLOOKUP($B133,'Dermal Exposure'!$A$6:$L$19,11,FALSE),VLOOKUP($B133,'Dermal Exposure'!$A$6:$L$19,6,FALSE))),"--")</f>
        <v>147.6615548177553</v>
      </c>
      <c r="O133" s="91" t="str">
        <f>IFERROR(K133*T133, "--")</f>
        <v>--</v>
      </c>
      <c r="P133" s="91">
        <f>IFERROR(L133*U133, "--")</f>
        <v>46645.013833754361</v>
      </c>
      <c r="Q133" s="91">
        <f>IFERROR(M133*V133, "--")</f>
        <v>1379.1552442505167</v>
      </c>
      <c r="R133" s="91">
        <f>IFERROR(N133*W133, "--")</f>
        <v>1476.6155481775531</v>
      </c>
      <c r="T133" s="92">
        <v>10</v>
      </c>
      <c r="U133" s="93">
        <v>10</v>
      </c>
      <c r="V133" s="93">
        <v>10</v>
      </c>
      <c r="W133" s="94">
        <v>10</v>
      </c>
    </row>
    <row r="134" spans="2:23" ht="15" thickBot="1" x14ac:dyDescent="0.4">
      <c r="B134" s="82" t="s">
        <v>480</v>
      </c>
      <c r="C134" s="83" t="s">
        <v>68</v>
      </c>
      <c r="D134" s="83" t="s">
        <v>107</v>
      </c>
      <c r="E134" s="98"/>
      <c r="F134" s="122"/>
      <c r="G134" s="99"/>
      <c r="H134" s="100"/>
      <c r="I134" s="101"/>
      <c r="J134" s="113"/>
      <c r="K134" s="103"/>
      <c r="L134" s="103"/>
      <c r="M134" s="103"/>
      <c r="N134" s="104"/>
      <c r="O134" s="105" t="str">
        <f>CONCATENATE("(APF ",T133,")")</f>
        <v>(APF 10)</v>
      </c>
      <c r="P134" s="105" t="str">
        <f>CONCATENATE("(APF ",U133,")")</f>
        <v>(APF 10)</v>
      </c>
      <c r="Q134" s="105" t="str">
        <f>CONCATENATE("(APF ",V133,")")</f>
        <v>(APF 10)</v>
      </c>
      <c r="R134" s="105" t="str">
        <f>CONCATENATE("(APF ",W133,")")</f>
        <v>(APF 10)</v>
      </c>
      <c r="T134" s="106" t="s">
        <v>111</v>
      </c>
      <c r="U134" s="107" t="s">
        <v>111</v>
      </c>
      <c r="V134" s="107" t="s">
        <v>111</v>
      </c>
      <c r="W134" s="108" t="s">
        <v>111</v>
      </c>
    </row>
    <row r="135" spans="2:23" ht="15" thickBot="1" x14ac:dyDescent="0.4">
      <c r="B135" s="82" t="s">
        <v>480</v>
      </c>
      <c r="C135" s="83" t="s">
        <v>68</v>
      </c>
      <c r="D135" s="83" t="s">
        <v>107</v>
      </c>
      <c r="E135" s="98"/>
      <c r="F135" s="122"/>
      <c r="G135" s="99"/>
      <c r="H135" s="100"/>
      <c r="I135" s="101"/>
      <c r="J135" s="86" t="s">
        <v>112</v>
      </c>
      <c r="K135" s="88" t="str">
        <f>IFERROR(VLOOKUP($D135,$Y$9:$AB$10,2,FALSE)/IF($D135="Inhalation",IF($J135="Central Tendency",SUMIFS('Inhalation Exposure_Short-Term'!$F$7:$F$397,'Inhalation Exposure_Short-Term'!$B$7:$B$397,$B135,'Inhalation Exposure_Short-Term'!$D$7:$D$397,$C135),SUMIFS('Inhalation Exposure_Short-Term'!$G$7:$G$397,'Inhalation Exposure_Short-Term'!$B$7:$B$397,$B135,'Inhalation Exposure_Short-Term'!$D$7:$D$397,$C135)),IF($J135="Central Tendency",VLOOKUP($B135,'Dermal Exposure'!$A$6:$L$19,9,FALSE),VLOOKUP($B135,'Dermal Exposure'!$A$6:$L$19,4,FALSE))),"--")</f>
        <v>--</v>
      </c>
      <c r="L135" s="88">
        <f>IFERROR(VLOOKUP($D135,$Y$9:$AB$10,2,FALSE)/IF($D135="Inhalation",IF($J135="Central Tendency",SUMIFS('Inhalation Exposure_8-hr'!$H$6:$H$411,'Inhalation Exposure_8-hr'!$B$6:$B$411,$B135,'Inhalation Exposure_8-hr'!$D$6:$D$411,$C135),SUMIFS('Inhalation Exposure_8-hr'!$I$6:$I$411,'Inhalation Exposure_8-hr'!$B$6:$B$411,$B135,'Inhalation Exposure_8-hr'!$D$6:$D$411,$C135)),IF($J135="Central Tendency",VLOOKUP($B135,'Dermal Exposure'!$A$6:$L$19,9,FALSE),VLOOKUP($B135,'Dermal Exposure'!$A$6:$L$19,4,FALSE))),"--")</f>
        <v>3159.2240445172279</v>
      </c>
      <c r="M135" s="88">
        <f>IFERROR(VLOOKUP($D135,$Y$9:$AB$10,3,FALSE)/IF($D135="Inhalation",IF($J135="Central Tendency",SUMIFS('Inhalation Exposure_8-hr'!$L$6:$L$411,'Inhalation Exposure_8-hr'!$B$6:$B$411,$B135,'Inhalation Exposure_8-hr'!$D$6:$D$411,$C135),SUMIFS('Inhalation Exposure_8-hr'!$M$6:$M$411,'Inhalation Exposure_8-hr'!$B$6:$B$411,$B135,'Inhalation Exposure_8-hr'!$D$6:$D$411,$C135)),IF($J135="Central Tendency",VLOOKUP($B135,'Dermal Exposure'!$A$6:$L$19,10,FALSE),VLOOKUP($B135,'Dermal Exposure'!$A$6:$L$19,5,FALSE))),"--")</f>
        <v>93.408920925333803</v>
      </c>
      <c r="N135" s="89">
        <f>IFERROR(VLOOKUP($D135,$Y$9:$AB$10,4,FALSE)/IF($D135="Inhalation",IF($J135="Central Tendency",SUMIFS('Inhalation Exposure_8-hr'!$N$6:$N$411,'Inhalation Exposure_8-hr'!$B$6:$B$411,$B135,'Inhalation Exposure_8-hr'!$D$6:$D$411,$C135),SUMIFS('Inhalation Exposure_8-hr'!$O$6:$O$411,'Inhalation Exposure_8-hr'!$B$6:$B$411,$B135,'Inhalation Exposure_8-hr'!$D$6:$D$411,$C135)),IF($J135="Central Tendency",VLOOKUP($B135,'Dermal Exposure'!$A$6:$L$19,11,FALSE),VLOOKUP($B135,'Dermal Exposure'!$A$6:$L$19,6,FALSE))),"--")</f>
        <v>100.00981800405739</v>
      </c>
      <c r="O135" s="91" t="str">
        <f>IFERROR(K135*T135, "--")</f>
        <v>--</v>
      </c>
      <c r="P135" s="91">
        <f>IFERROR(L135*U135, "--")</f>
        <v>31592.24044517228</v>
      </c>
      <c r="Q135" s="91">
        <f>IFERROR(M135*V135, "--")</f>
        <v>4670.4460462666902</v>
      </c>
      <c r="R135" s="91">
        <f>IFERROR(N135*W135, "--")</f>
        <v>5000.4909002028699</v>
      </c>
      <c r="T135" s="109">
        <v>10</v>
      </c>
      <c r="U135" s="110">
        <v>10</v>
      </c>
      <c r="V135" s="110">
        <v>50</v>
      </c>
      <c r="W135" s="111">
        <v>50</v>
      </c>
    </row>
    <row r="136" spans="2:23" ht="15" thickBot="1" x14ac:dyDescent="0.4">
      <c r="B136" s="82" t="s">
        <v>480</v>
      </c>
      <c r="C136" s="83" t="s">
        <v>68</v>
      </c>
      <c r="D136" s="83" t="s">
        <v>107</v>
      </c>
      <c r="E136" s="98"/>
      <c r="F136" s="122"/>
      <c r="G136" s="112"/>
      <c r="H136" s="100"/>
      <c r="I136" s="113"/>
      <c r="J136" s="113"/>
      <c r="K136" s="103"/>
      <c r="L136" s="103"/>
      <c r="M136" s="103"/>
      <c r="N136" s="104"/>
      <c r="O136" s="105" t="str">
        <f>CONCATENATE("(APF ",T135,")")</f>
        <v>(APF 10)</v>
      </c>
      <c r="P136" s="105" t="str">
        <f>CONCATENATE("(APF ",U135,")")</f>
        <v>(APF 10)</v>
      </c>
      <c r="Q136" s="105" t="str">
        <f>CONCATENATE("(APF ",V135,")")</f>
        <v>(APF 50)</v>
      </c>
      <c r="R136" s="105" t="str">
        <f>CONCATENATE("(APF ",W135,")")</f>
        <v>(APF 50)</v>
      </c>
      <c r="T136" s="114" t="s">
        <v>111</v>
      </c>
      <c r="U136" s="115" t="s">
        <v>111</v>
      </c>
      <c r="V136" s="115" t="s">
        <v>111</v>
      </c>
      <c r="W136" s="116" t="s">
        <v>111</v>
      </c>
    </row>
    <row r="137" spans="2:23" ht="15.75" customHeight="1" thickBot="1" x14ac:dyDescent="0.4">
      <c r="B137" s="82" t="s">
        <v>481</v>
      </c>
      <c r="C137" s="83" t="s">
        <v>68</v>
      </c>
      <c r="D137" s="83" t="s">
        <v>107</v>
      </c>
      <c r="E137" s="98"/>
      <c r="F137" s="122"/>
      <c r="G137" s="85" t="s">
        <v>487</v>
      </c>
      <c r="H137" s="100"/>
      <c r="I137" s="86" t="s">
        <v>110</v>
      </c>
      <c r="J137" s="86" t="s">
        <v>71</v>
      </c>
      <c r="K137" s="88" t="str">
        <f>IFERROR(VLOOKUP($D137,$Y$9:$AB$10,2,FALSE)/IF($D137="Inhalation",IF($J137="Central Tendency",SUMIFS('Inhalation Exposure_Short-Term'!$F$7:$F$397,'Inhalation Exposure_Short-Term'!$B$7:$B$397,$B137,'Inhalation Exposure_Short-Term'!$D$7:$D$397,$C137),SUMIFS('Inhalation Exposure_Short-Term'!$G$7:$G$397,'Inhalation Exposure_Short-Term'!$B$7:$B$397,$B137,'Inhalation Exposure_Short-Term'!$D$7:$D$397,$C137)),IF($J137="Central Tendency",VLOOKUP($B137,'Dermal Exposure'!$A$6:$L$19,9,FALSE),VLOOKUP($B137,'Dermal Exposure'!$A$6:$L$19,4,FALSE))),"--")</f>
        <v>--</v>
      </c>
      <c r="L137" s="88">
        <f>IFERROR(VLOOKUP($D137,$Y$9:$AB$10,2,FALSE)/IF($D137="Inhalation",IF($J137="Central Tendency",SUMIFS('Inhalation Exposure_8-hr'!$H$6:$H$411,'Inhalation Exposure_8-hr'!$B$6:$B$411,$B137,'Inhalation Exposure_8-hr'!$D$6:$D$411,$C137),SUMIFS('Inhalation Exposure_8-hr'!$I$6:$I$411,'Inhalation Exposure_8-hr'!$B$6:$B$411,$B137,'Inhalation Exposure_8-hr'!$D$6:$D$411,$C137)),IF($J137="Central Tendency",VLOOKUP($B137,'Dermal Exposure'!$A$6:$L$19,9,FALSE),VLOOKUP($B137,'Dermal Exposure'!$A$6:$L$19,4,FALSE))),"--")</f>
        <v>115404.9884662577</v>
      </c>
      <c r="M137" s="88">
        <f>IFERROR(VLOOKUP($D137,$Y$9:$AB$10,3,FALSE)/IF($D137="Inhalation",IF($J137="Central Tendency",SUMIFS('Inhalation Exposure_8-hr'!$L$6:$L$411,'Inhalation Exposure_8-hr'!$B$6:$B$411,$B137,'Inhalation Exposure_8-hr'!$D$6:$D$411,$C137),SUMIFS('Inhalation Exposure_8-hr'!$M$6:$M$411,'Inhalation Exposure_8-hr'!$B$6:$B$411,$B137,'Inhalation Exposure_8-hr'!$D$6:$D$411,$C137)),IF($J137="Central Tendency",VLOOKUP($B137,'Dermal Exposure'!$A$6:$L$19,10,FALSE),VLOOKUP($B137,'Dermal Exposure'!$A$6:$L$19,5,FALSE))),"--")</f>
        <v>3412.1845396631352</v>
      </c>
      <c r="N137" s="89">
        <f>IFERROR(VLOOKUP($D137,$Y$9:$AB$10,4,FALSE)/IF($D137="Inhalation",IF($J137="Central Tendency",SUMIFS('Inhalation Exposure_8-hr'!$N$6:$N$411,'Inhalation Exposure_8-hr'!$B$6:$B$411,$B137,'Inhalation Exposure_8-hr'!$D$6:$D$411,$C137),SUMIFS('Inhalation Exposure_8-hr'!$O$6:$O$411,'Inhalation Exposure_8-hr'!$B$6:$B$411,$B137,'Inhalation Exposure_8-hr'!$D$6:$D$411,$C137)),IF($J137="Central Tendency",VLOOKUP($B137,'Dermal Exposure'!$A$6:$L$19,11,FALSE),VLOOKUP($B137,'Dermal Exposure'!$A$6:$L$19,6,FALSE))),"--")</f>
        <v>3653.3122471326633</v>
      </c>
      <c r="O137" s="91" t="str">
        <f>IFERROR(K137*T137, "--")</f>
        <v>--</v>
      </c>
      <c r="P137" s="91">
        <f>IFERROR(L137*U137, "--")</f>
        <v>1154049.884662577</v>
      </c>
      <c r="Q137" s="91">
        <f>IFERROR(M137*V137, "--")</f>
        <v>34121.845396631354</v>
      </c>
      <c r="R137" s="91">
        <f>IFERROR(N137*W137, "--")</f>
        <v>36533.122471326635</v>
      </c>
      <c r="T137" s="92">
        <v>10</v>
      </c>
      <c r="U137" s="93">
        <v>10</v>
      </c>
      <c r="V137" s="93">
        <v>10</v>
      </c>
      <c r="W137" s="94">
        <v>10</v>
      </c>
    </row>
    <row r="138" spans="2:23" ht="15" thickBot="1" x14ac:dyDescent="0.4">
      <c r="B138" s="82" t="s">
        <v>481</v>
      </c>
      <c r="C138" s="83" t="s">
        <v>68</v>
      </c>
      <c r="D138" s="83" t="s">
        <v>107</v>
      </c>
      <c r="E138" s="98"/>
      <c r="F138" s="122"/>
      <c r="G138" s="99"/>
      <c r="H138" s="100"/>
      <c r="I138" s="101"/>
      <c r="J138" s="113"/>
      <c r="K138" s="103"/>
      <c r="L138" s="103"/>
      <c r="M138" s="103"/>
      <c r="N138" s="104"/>
      <c r="O138" s="105" t="str">
        <f>CONCATENATE("(APF ",T137,")")</f>
        <v>(APF 10)</v>
      </c>
      <c r="P138" s="105" t="str">
        <f>CONCATENATE("(APF ",U137,")")</f>
        <v>(APF 10)</v>
      </c>
      <c r="Q138" s="105" t="str">
        <f>CONCATENATE("(APF ",V137,")")</f>
        <v>(APF 10)</v>
      </c>
      <c r="R138" s="105" t="str">
        <f>CONCATENATE("(APF ",W137,")")</f>
        <v>(APF 10)</v>
      </c>
      <c r="T138" s="106" t="s">
        <v>111</v>
      </c>
      <c r="U138" s="107" t="s">
        <v>111</v>
      </c>
      <c r="V138" s="107" t="s">
        <v>111</v>
      </c>
      <c r="W138" s="108" t="s">
        <v>111</v>
      </c>
    </row>
    <row r="139" spans="2:23" ht="15" thickBot="1" x14ac:dyDescent="0.4">
      <c r="B139" s="82" t="s">
        <v>481</v>
      </c>
      <c r="C139" s="83" t="s">
        <v>68</v>
      </c>
      <c r="D139" s="83" t="s">
        <v>107</v>
      </c>
      <c r="E139" s="98"/>
      <c r="F139" s="122"/>
      <c r="G139" s="99"/>
      <c r="H139" s="100"/>
      <c r="I139" s="101"/>
      <c r="J139" s="86" t="s">
        <v>112</v>
      </c>
      <c r="K139" s="88" t="str">
        <f>IFERROR(VLOOKUP($D139,$Y$9:$AB$10,2,FALSE)/IF($D139="Inhalation",IF($J139="Central Tendency",SUMIFS('Inhalation Exposure_Short-Term'!$F$7:$F$397,'Inhalation Exposure_Short-Term'!$B$7:$B$397,$B139,'Inhalation Exposure_Short-Term'!$D$7:$D$397,$C139),SUMIFS('Inhalation Exposure_Short-Term'!$G$7:$G$397,'Inhalation Exposure_Short-Term'!$B$7:$B$397,$B139,'Inhalation Exposure_Short-Term'!$D$7:$D$397,$C139)),IF($J139="Central Tendency",VLOOKUP($B139,'Dermal Exposure'!$A$6:$L$19,9,FALSE),VLOOKUP($B139,'Dermal Exposure'!$A$6:$L$19,4,FALSE))),"--")</f>
        <v>--</v>
      </c>
      <c r="L139" s="88">
        <f>IFERROR(VLOOKUP($D139,$Y$9:$AB$10,2,FALSE)/IF($D139="Inhalation",IF($J139="Central Tendency",SUMIFS('Inhalation Exposure_8-hr'!$H$6:$H$411,'Inhalation Exposure_8-hr'!$B$6:$B$411,$B139,'Inhalation Exposure_8-hr'!$D$6:$D$411,$C139),SUMIFS('Inhalation Exposure_8-hr'!$I$6:$I$411,'Inhalation Exposure_8-hr'!$B$6:$B$411,$B139,'Inhalation Exposure_8-hr'!$D$6:$D$411,$C139)),IF($J139="Central Tendency",VLOOKUP($B139,'Dermal Exposure'!$A$6:$L$19,9,FALSE),VLOOKUP($B139,'Dermal Exposure'!$A$6:$L$19,4,FALSE))),"--")</f>
        <v>115404.98846625767</v>
      </c>
      <c r="M139" s="88">
        <f>IFERROR(VLOOKUP($D139,$Y$9:$AB$10,3,FALSE)/IF($D139="Inhalation",IF($J139="Central Tendency",SUMIFS('Inhalation Exposure_8-hr'!$L$6:$L$411,'Inhalation Exposure_8-hr'!$B$6:$B$411,$B139,'Inhalation Exposure_8-hr'!$D$6:$D$411,$C139),SUMIFS('Inhalation Exposure_8-hr'!$M$6:$M$411,'Inhalation Exposure_8-hr'!$B$6:$B$411,$B139,'Inhalation Exposure_8-hr'!$D$6:$D$411,$C139)),IF($J139="Central Tendency",VLOOKUP($B139,'Dermal Exposure'!$A$6:$L$19,10,FALSE),VLOOKUP($B139,'Dermal Exposure'!$A$6:$L$19,5,FALSE))),"--")</f>
        <v>3412.1845396631343</v>
      </c>
      <c r="N139" s="89">
        <f>IFERROR(VLOOKUP($D139,$Y$9:$AB$10,4,FALSE)/IF($D139="Inhalation",IF($J139="Central Tendency",SUMIFS('Inhalation Exposure_8-hr'!$N$6:$N$411,'Inhalation Exposure_8-hr'!$B$6:$B$411,$B139,'Inhalation Exposure_8-hr'!$D$6:$D$411,$C139),SUMIFS('Inhalation Exposure_8-hr'!$O$6:$O$411,'Inhalation Exposure_8-hr'!$B$6:$B$411,$B139,'Inhalation Exposure_8-hr'!$D$6:$D$411,$C139)),IF($J139="Central Tendency",VLOOKUP($B139,'Dermal Exposure'!$A$6:$L$19,11,FALSE),VLOOKUP($B139,'Dermal Exposure'!$A$6:$L$19,6,FALSE))),"--")</f>
        <v>3653.3122471326624</v>
      </c>
      <c r="O139" s="91" t="str">
        <f>IFERROR(K139*T139, "--")</f>
        <v>--</v>
      </c>
      <c r="P139" s="91">
        <f>IFERROR(L139*U139, "--")</f>
        <v>1154049.8846625767</v>
      </c>
      <c r="Q139" s="91">
        <f>IFERROR(M139*V139, "--")</f>
        <v>170609.22698315672</v>
      </c>
      <c r="R139" s="91">
        <f>IFERROR(N139*W139, "--")</f>
        <v>182665.61235663312</v>
      </c>
      <c r="T139" s="109">
        <v>10</v>
      </c>
      <c r="U139" s="110">
        <v>10</v>
      </c>
      <c r="V139" s="110">
        <v>50</v>
      </c>
      <c r="W139" s="111">
        <v>50</v>
      </c>
    </row>
    <row r="140" spans="2:23" ht="15" thickBot="1" x14ac:dyDescent="0.4">
      <c r="B140" s="82" t="s">
        <v>481</v>
      </c>
      <c r="C140" s="83" t="s">
        <v>68</v>
      </c>
      <c r="D140" s="83" t="s">
        <v>107</v>
      </c>
      <c r="E140" s="98"/>
      <c r="F140" s="122"/>
      <c r="G140" s="112"/>
      <c r="H140" s="100"/>
      <c r="I140" s="113"/>
      <c r="J140" s="113"/>
      <c r="K140" s="103"/>
      <c r="L140" s="103"/>
      <c r="M140" s="103"/>
      <c r="N140" s="104"/>
      <c r="O140" s="105" t="str">
        <f>CONCATENATE("(APF ",T139,")")</f>
        <v>(APF 10)</v>
      </c>
      <c r="P140" s="105" t="str">
        <f>CONCATENATE("(APF ",U139,")")</f>
        <v>(APF 10)</v>
      </c>
      <c r="Q140" s="105" t="str">
        <f>CONCATENATE("(APF ",V139,")")</f>
        <v>(APF 50)</v>
      </c>
      <c r="R140" s="105" t="str">
        <f>CONCATENATE("(APF ",W139,")")</f>
        <v>(APF 50)</v>
      </c>
      <c r="T140" s="114" t="s">
        <v>111</v>
      </c>
      <c r="U140" s="115" t="s">
        <v>111</v>
      </c>
      <c r="V140" s="115" t="s">
        <v>111</v>
      </c>
      <c r="W140" s="116" t="s">
        <v>111</v>
      </c>
    </row>
    <row r="141" spans="2:23" ht="15.75" customHeight="1" thickBot="1" x14ac:dyDescent="0.4">
      <c r="B141" s="82" t="s">
        <v>482</v>
      </c>
      <c r="C141" s="83" t="s">
        <v>68</v>
      </c>
      <c r="D141" s="83" t="s">
        <v>107</v>
      </c>
      <c r="E141" s="98"/>
      <c r="F141" s="122"/>
      <c r="G141" s="85" t="s">
        <v>488</v>
      </c>
      <c r="H141" s="100"/>
      <c r="I141" s="86" t="s">
        <v>110</v>
      </c>
      <c r="J141" s="86" t="s">
        <v>71</v>
      </c>
      <c r="K141" s="88" t="str">
        <f>IFERROR(VLOOKUP($D141,$Y$9:$AB$10,2,FALSE)/IF($D141="Inhalation",IF($J141="Central Tendency",SUMIFS('Inhalation Exposure_Short-Term'!$F$7:$F$397,'Inhalation Exposure_Short-Term'!$B$7:$B$397,$B141,'Inhalation Exposure_Short-Term'!$D$7:$D$397,$C141),SUMIFS('Inhalation Exposure_Short-Term'!$G$7:$G$397,'Inhalation Exposure_Short-Term'!$B$7:$B$397,$B141,'Inhalation Exposure_Short-Term'!$D$7:$D$397,$C141)),IF($J141="Central Tendency",VLOOKUP($B141,'Dermal Exposure'!$A$6:$L$19,9,FALSE),VLOOKUP($B141,'Dermal Exposure'!$A$6:$L$19,4,FALSE))),"--")</f>
        <v>--</v>
      </c>
      <c r="L141" s="88">
        <f>IFERROR(VLOOKUP($D141,$Y$9:$AB$10,2,FALSE)/IF($D141="Inhalation",IF($J141="Central Tendency",SUMIFS('Inhalation Exposure_8-hr'!$H$6:$H$411,'Inhalation Exposure_8-hr'!$B$6:$B$411,$B141,'Inhalation Exposure_8-hr'!$D$6:$D$411,$C141),SUMIFS('Inhalation Exposure_8-hr'!$I$6:$I$411,'Inhalation Exposure_8-hr'!$B$6:$B$411,$B141,'Inhalation Exposure_8-hr'!$D$6:$D$411,$C141)),IF($J141="Central Tendency",VLOOKUP($B141,'Dermal Exposure'!$A$6:$L$19,9,FALSE),VLOOKUP($B141,'Dermal Exposure'!$A$6:$L$19,4,FALSE))),"--")</f>
        <v>115404.9884662577</v>
      </c>
      <c r="M141" s="88">
        <f>IFERROR(VLOOKUP($D141,$Y$9:$AB$10,3,FALSE)/IF($D141="Inhalation",IF($J141="Central Tendency",SUMIFS('Inhalation Exposure_8-hr'!$L$6:$L$411,'Inhalation Exposure_8-hr'!$B$6:$B$411,$B141,'Inhalation Exposure_8-hr'!$D$6:$D$411,$C141),SUMIFS('Inhalation Exposure_8-hr'!$M$6:$M$411,'Inhalation Exposure_8-hr'!$B$6:$B$411,$B141,'Inhalation Exposure_8-hr'!$D$6:$D$411,$C141)),IF($J141="Central Tendency",VLOOKUP($B141,'Dermal Exposure'!$A$6:$L$19,10,FALSE),VLOOKUP($B141,'Dermal Exposure'!$A$6:$L$19,5,FALSE))),"--")</f>
        <v>3412.1845396631352</v>
      </c>
      <c r="N141" s="89">
        <f>IFERROR(VLOOKUP($D141,$Y$9:$AB$10,4,FALSE)/IF($D141="Inhalation",IF($J141="Central Tendency",SUMIFS('Inhalation Exposure_8-hr'!$N$6:$N$411,'Inhalation Exposure_8-hr'!$B$6:$B$411,$B141,'Inhalation Exposure_8-hr'!$D$6:$D$411,$C141),SUMIFS('Inhalation Exposure_8-hr'!$O$6:$O$411,'Inhalation Exposure_8-hr'!$B$6:$B$411,$B141,'Inhalation Exposure_8-hr'!$D$6:$D$411,$C141)),IF($J141="Central Tendency",VLOOKUP($B141,'Dermal Exposure'!$A$6:$L$19,11,FALSE),VLOOKUP($B141,'Dermal Exposure'!$A$6:$L$19,6,FALSE))),"--")</f>
        <v>3653.3122471326633</v>
      </c>
      <c r="O141" s="91" t="str">
        <f>IFERROR(K141*T141, "--")</f>
        <v>--</v>
      </c>
      <c r="P141" s="91">
        <f>IFERROR(L141*U141, "--")</f>
        <v>1154049.884662577</v>
      </c>
      <c r="Q141" s="91">
        <f>IFERROR(M141*V141, "--")</f>
        <v>34121.845396631354</v>
      </c>
      <c r="R141" s="91">
        <f>IFERROR(N141*W141, "--")</f>
        <v>36533.122471326635</v>
      </c>
      <c r="T141" s="92">
        <v>10</v>
      </c>
      <c r="U141" s="93">
        <v>10</v>
      </c>
      <c r="V141" s="93">
        <v>10</v>
      </c>
      <c r="W141" s="94">
        <v>10</v>
      </c>
    </row>
    <row r="142" spans="2:23" ht="15" thickBot="1" x14ac:dyDescent="0.4">
      <c r="B142" s="82" t="s">
        <v>482</v>
      </c>
      <c r="C142" s="83" t="s">
        <v>68</v>
      </c>
      <c r="D142" s="83" t="s">
        <v>107</v>
      </c>
      <c r="E142" s="98"/>
      <c r="F142" s="122"/>
      <c r="G142" s="99"/>
      <c r="H142" s="100"/>
      <c r="I142" s="101"/>
      <c r="J142" s="113"/>
      <c r="K142" s="103"/>
      <c r="L142" s="103"/>
      <c r="M142" s="103"/>
      <c r="N142" s="104"/>
      <c r="O142" s="105" t="str">
        <f>CONCATENATE("(APF ",T141,")")</f>
        <v>(APF 10)</v>
      </c>
      <c r="P142" s="105" t="str">
        <f>CONCATENATE("(APF ",U141,")")</f>
        <v>(APF 10)</v>
      </c>
      <c r="Q142" s="105" t="str">
        <f>CONCATENATE("(APF ",V141,")")</f>
        <v>(APF 10)</v>
      </c>
      <c r="R142" s="105" t="str">
        <f>CONCATENATE("(APF ",W141,")")</f>
        <v>(APF 10)</v>
      </c>
      <c r="T142" s="106" t="s">
        <v>111</v>
      </c>
      <c r="U142" s="107" t="s">
        <v>111</v>
      </c>
      <c r="V142" s="107" t="s">
        <v>111</v>
      </c>
      <c r="W142" s="108" t="s">
        <v>111</v>
      </c>
    </row>
    <row r="143" spans="2:23" ht="15" thickBot="1" x14ac:dyDescent="0.4">
      <c r="B143" s="82" t="s">
        <v>482</v>
      </c>
      <c r="C143" s="83" t="s">
        <v>68</v>
      </c>
      <c r="D143" s="83" t="s">
        <v>107</v>
      </c>
      <c r="E143" s="98"/>
      <c r="F143" s="122"/>
      <c r="G143" s="99"/>
      <c r="H143" s="100"/>
      <c r="I143" s="101"/>
      <c r="J143" s="86" t="s">
        <v>112</v>
      </c>
      <c r="K143" s="88" t="str">
        <f>IFERROR(VLOOKUP($D143,$Y$9:$AB$10,2,FALSE)/IF($D143="Inhalation",IF($J143="Central Tendency",SUMIFS('Inhalation Exposure_Short-Term'!$F$7:$F$397,'Inhalation Exposure_Short-Term'!$B$7:$B$397,$B143,'Inhalation Exposure_Short-Term'!$D$7:$D$397,$C143),SUMIFS('Inhalation Exposure_Short-Term'!$G$7:$G$397,'Inhalation Exposure_Short-Term'!$B$7:$B$397,$B143,'Inhalation Exposure_Short-Term'!$D$7:$D$397,$C143)),IF($J143="Central Tendency",VLOOKUP($B143,'Dermal Exposure'!$A$6:$L$19,9,FALSE),VLOOKUP($B143,'Dermal Exposure'!$A$6:$L$19,4,FALSE))),"--")</f>
        <v>--</v>
      </c>
      <c r="L143" s="88">
        <f>IFERROR(VLOOKUP($D143,$Y$9:$AB$10,2,FALSE)/IF($D143="Inhalation",IF($J143="Central Tendency",SUMIFS('Inhalation Exposure_8-hr'!$H$6:$H$411,'Inhalation Exposure_8-hr'!$B$6:$B$411,$B143,'Inhalation Exposure_8-hr'!$D$6:$D$411,$C143),SUMIFS('Inhalation Exposure_8-hr'!$I$6:$I$411,'Inhalation Exposure_8-hr'!$B$6:$B$411,$B143,'Inhalation Exposure_8-hr'!$D$6:$D$411,$C143)),IF($J143="Central Tendency",VLOOKUP($B143,'Dermal Exposure'!$A$6:$L$19,9,FALSE),VLOOKUP($B143,'Dermal Exposure'!$A$6:$L$19,4,FALSE))),"--")</f>
        <v>20603.394947483554</v>
      </c>
      <c r="M143" s="88">
        <f>IFERROR(VLOOKUP($D143,$Y$9:$AB$10,3,FALSE)/IF($D143="Inhalation",IF($J143="Central Tendency",SUMIFS('Inhalation Exposure_8-hr'!$L$6:$L$411,'Inhalation Exposure_8-hr'!$B$6:$B$411,$B143,'Inhalation Exposure_8-hr'!$D$6:$D$411,$C143),SUMIFS('Inhalation Exposure_8-hr'!$M$6:$M$411,'Inhalation Exposure_8-hr'!$B$6:$B$411,$B143,'Inhalation Exposure_8-hr'!$D$6:$D$411,$C143)),IF($J143="Central Tendency",VLOOKUP($B143,'Dermal Exposure'!$A$6:$L$19,10,FALSE),VLOOKUP($B143,'Dermal Exposure'!$A$6:$L$19,5,FALSE))),"--")</f>
        <v>609.18151493019843</v>
      </c>
      <c r="N143" s="89">
        <f>IFERROR(VLOOKUP($D143,$Y$9:$AB$10,4,FALSE)/IF($D143="Inhalation",IF($J143="Central Tendency",SUMIFS('Inhalation Exposure_8-hr'!$N$6:$N$411,'Inhalation Exposure_8-hr'!$B$6:$B$411,$B143,'Inhalation Exposure_8-hr'!$D$6:$D$411,$C143),SUMIFS('Inhalation Exposure_8-hr'!$O$6:$O$411,'Inhalation Exposure_8-hr'!$B$6:$B$411,$B143,'Inhalation Exposure_8-hr'!$D$6:$D$411,$C143)),IF($J143="Central Tendency",VLOOKUP($B143,'Dermal Exposure'!$A$6:$L$19,11,FALSE),VLOOKUP($B143,'Dermal Exposure'!$A$6:$L$19,6,FALSE))),"--")</f>
        <v>652.23034198526568</v>
      </c>
      <c r="O143" s="91" t="str">
        <f>IFERROR(K143*T143, "--")</f>
        <v>--</v>
      </c>
      <c r="P143" s="91">
        <f>IFERROR(L143*U143, "--")</f>
        <v>206033.94947483554</v>
      </c>
      <c r="Q143" s="91">
        <f>IFERROR(M143*V143, "--")</f>
        <v>30459.075746509923</v>
      </c>
      <c r="R143" s="91">
        <f>IFERROR(N143*W143, "--")</f>
        <v>32611.517099263285</v>
      </c>
      <c r="T143" s="109">
        <v>10</v>
      </c>
      <c r="U143" s="110">
        <v>10</v>
      </c>
      <c r="V143" s="110">
        <v>50</v>
      </c>
      <c r="W143" s="111">
        <v>50</v>
      </c>
    </row>
    <row r="144" spans="2:23" ht="15" thickBot="1" x14ac:dyDescent="0.4">
      <c r="B144" s="82" t="s">
        <v>482</v>
      </c>
      <c r="C144" s="83" t="s">
        <v>68</v>
      </c>
      <c r="D144" s="83" t="s">
        <v>107</v>
      </c>
      <c r="E144" s="98"/>
      <c r="F144" s="122"/>
      <c r="G144" s="112"/>
      <c r="H144" s="100"/>
      <c r="I144" s="113"/>
      <c r="J144" s="113"/>
      <c r="K144" s="103"/>
      <c r="L144" s="103"/>
      <c r="M144" s="103"/>
      <c r="N144" s="104"/>
      <c r="O144" s="105" t="str">
        <f>CONCATENATE("(APF ",T143,")")</f>
        <v>(APF 10)</v>
      </c>
      <c r="P144" s="105" t="str">
        <f>CONCATENATE("(APF ",U143,")")</f>
        <v>(APF 10)</v>
      </c>
      <c r="Q144" s="105" t="str">
        <f>CONCATENATE("(APF ",V143,")")</f>
        <v>(APF 50)</v>
      </c>
      <c r="R144" s="105" t="str">
        <f>CONCATENATE("(APF ",W143,")")</f>
        <v>(APF 50)</v>
      </c>
      <c r="T144" s="114" t="s">
        <v>111</v>
      </c>
      <c r="U144" s="115" t="s">
        <v>111</v>
      </c>
      <c r="V144" s="115" t="s">
        <v>111</v>
      </c>
      <c r="W144" s="116" t="s">
        <v>111</v>
      </c>
    </row>
    <row r="145" spans="2:23" ht="15.75" customHeight="1" thickBot="1" x14ac:dyDescent="0.4">
      <c r="B145" s="82" t="s">
        <v>483</v>
      </c>
      <c r="C145" s="83" t="s">
        <v>68</v>
      </c>
      <c r="D145" s="83" t="s">
        <v>107</v>
      </c>
      <c r="E145" s="98"/>
      <c r="F145" s="122"/>
      <c r="G145" s="85" t="s">
        <v>489</v>
      </c>
      <c r="H145" s="100"/>
      <c r="I145" s="86" t="s">
        <v>110</v>
      </c>
      <c r="J145" s="86" t="s">
        <v>71</v>
      </c>
      <c r="K145" s="88" t="str">
        <f>IFERROR(VLOOKUP($D145,$Y$9:$AB$10,2,FALSE)/IF($D145="Inhalation",IF($J145="Central Tendency",SUMIFS('Inhalation Exposure_Short-Term'!$F$7:$F$397,'Inhalation Exposure_Short-Term'!$B$7:$B$397,$B145,'Inhalation Exposure_Short-Term'!$D$7:$D$397,$C145),SUMIFS('Inhalation Exposure_Short-Term'!$G$7:$G$397,'Inhalation Exposure_Short-Term'!$B$7:$B$397,$B145,'Inhalation Exposure_Short-Term'!$D$7:$D$397,$C145)),IF($J145="Central Tendency",VLOOKUP($B145,'Dermal Exposure'!$A$6:$L$19,9,FALSE),VLOOKUP($B145,'Dermal Exposure'!$A$6:$L$19,4,FALSE))),"--")</f>
        <v>--</v>
      </c>
      <c r="L145" s="88">
        <f>IFERROR(VLOOKUP($D145,$Y$9:$AB$10,2,FALSE)/IF($D145="Inhalation",IF($J145="Central Tendency",SUMIFS('Inhalation Exposure_8-hr'!$H$6:$H$411,'Inhalation Exposure_8-hr'!$B$6:$B$411,$B145,'Inhalation Exposure_8-hr'!$D$6:$D$411,$C145),SUMIFS('Inhalation Exposure_8-hr'!$I$6:$I$411,'Inhalation Exposure_8-hr'!$B$6:$B$411,$B145,'Inhalation Exposure_8-hr'!$D$6:$D$411,$C145)),IF($J145="Central Tendency",VLOOKUP($B145,'Dermal Exposure'!$A$6:$L$19,9,FALSE),VLOOKUP($B145,'Dermal Exposure'!$A$6:$L$19,4,FALSE))),"--")</f>
        <v>839.1166509775918</v>
      </c>
      <c r="M145" s="88">
        <f>IFERROR(VLOOKUP($D145,$Y$9:$AB$10,3,FALSE)/IF($D145="Inhalation",IF($J145="Central Tendency",SUMIFS('Inhalation Exposure_8-hr'!$L$6:$L$411,'Inhalation Exposure_8-hr'!$B$6:$B$411,$B145,'Inhalation Exposure_8-hr'!$D$6:$D$411,$C145),SUMIFS('Inhalation Exposure_8-hr'!$M$6:$M$411,'Inhalation Exposure_8-hr'!$B$6:$B$411,$B145,'Inhalation Exposure_8-hr'!$D$6:$D$411,$C145)),IF($J145="Central Tendency",VLOOKUP($B145,'Dermal Exposure'!$A$6:$L$19,10,FALSE),VLOOKUP($B145,'Dermal Exposure'!$A$6:$L$19,5,FALSE))),"--")</f>
        <v>24.810200161120409</v>
      </c>
      <c r="N145" s="89">
        <f>IFERROR(VLOOKUP($D145,$Y$9:$AB$10,4,FALSE)/IF($D145="Inhalation",IF($J145="Central Tendency",SUMIFS('Inhalation Exposure_8-hr'!$N$6:$N$411,'Inhalation Exposure_8-hr'!$B$6:$B$411,$B145,'Inhalation Exposure_8-hr'!$D$6:$D$411,$C145),SUMIFS('Inhalation Exposure_8-hr'!$O$6:$O$411,'Inhalation Exposure_8-hr'!$B$6:$B$411,$B145,'Inhalation Exposure_8-hr'!$D$6:$D$411,$C145)),IF($J145="Central Tendency",VLOOKUP($B145,'Dermal Exposure'!$A$6:$L$19,11,FALSE),VLOOKUP($B145,'Dermal Exposure'!$A$6:$L$19,6,FALSE))),"--")</f>
        <v>26.563454305839585</v>
      </c>
      <c r="O145" s="91" t="str">
        <f>IFERROR(K145*T145, "--")</f>
        <v>--</v>
      </c>
      <c r="P145" s="91">
        <f>IFERROR(L145*U145, "--")</f>
        <v>8391.1665097759178</v>
      </c>
      <c r="Q145" s="91">
        <f>IFERROR(M145*V145, "--")</f>
        <v>248.10200161120409</v>
      </c>
      <c r="R145" s="91">
        <f>IFERROR(N145*W145, "--")</f>
        <v>265.63454305839582</v>
      </c>
      <c r="T145" s="92">
        <v>10</v>
      </c>
      <c r="U145" s="93">
        <v>10</v>
      </c>
      <c r="V145" s="93">
        <v>10</v>
      </c>
      <c r="W145" s="94">
        <v>10</v>
      </c>
    </row>
    <row r="146" spans="2:23" ht="15" thickBot="1" x14ac:dyDescent="0.4">
      <c r="B146" s="82" t="s">
        <v>483</v>
      </c>
      <c r="C146" s="83" t="s">
        <v>68</v>
      </c>
      <c r="D146" s="83" t="s">
        <v>107</v>
      </c>
      <c r="E146" s="98"/>
      <c r="F146" s="122"/>
      <c r="G146" s="99"/>
      <c r="H146" s="100"/>
      <c r="I146" s="101"/>
      <c r="J146" s="113"/>
      <c r="K146" s="103"/>
      <c r="L146" s="103"/>
      <c r="M146" s="103"/>
      <c r="N146" s="104"/>
      <c r="O146" s="105" t="str">
        <f>CONCATENATE("(APF ",T145,")")</f>
        <v>(APF 10)</v>
      </c>
      <c r="P146" s="105" t="str">
        <f>CONCATENATE("(APF ",U145,")")</f>
        <v>(APF 10)</v>
      </c>
      <c r="Q146" s="105" t="str">
        <f>CONCATENATE("(APF ",V145,")")</f>
        <v>(APF 10)</v>
      </c>
      <c r="R146" s="105" t="str">
        <f>CONCATENATE("(APF ",W145,")")</f>
        <v>(APF 10)</v>
      </c>
      <c r="T146" s="106" t="s">
        <v>111</v>
      </c>
      <c r="U146" s="107" t="s">
        <v>111</v>
      </c>
      <c r="V146" s="107" t="s">
        <v>111</v>
      </c>
      <c r="W146" s="108" t="s">
        <v>111</v>
      </c>
    </row>
    <row r="147" spans="2:23" ht="15" thickBot="1" x14ac:dyDescent="0.4">
      <c r="B147" s="82" t="s">
        <v>483</v>
      </c>
      <c r="C147" s="83" t="s">
        <v>68</v>
      </c>
      <c r="D147" s="83" t="s">
        <v>107</v>
      </c>
      <c r="E147" s="98"/>
      <c r="F147" s="122"/>
      <c r="G147" s="99"/>
      <c r="H147" s="100"/>
      <c r="I147" s="101"/>
      <c r="J147" s="86" t="s">
        <v>112</v>
      </c>
      <c r="K147" s="88" t="str">
        <f>IFERROR(VLOOKUP($D147,$Y$9:$AB$10,2,FALSE)/IF($D147="Inhalation",IF($J147="Central Tendency",SUMIFS('Inhalation Exposure_Short-Term'!$F$7:$F$397,'Inhalation Exposure_Short-Term'!$B$7:$B$397,$B147,'Inhalation Exposure_Short-Term'!$D$7:$D$397,$C147),SUMIFS('Inhalation Exposure_Short-Term'!$G$7:$G$397,'Inhalation Exposure_Short-Term'!$B$7:$B$397,$B147,'Inhalation Exposure_Short-Term'!$D$7:$D$397,$C147)),IF($J147="Central Tendency",VLOOKUP($B147,'Dermal Exposure'!$A$6:$L$19,9,FALSE),VLOOKUP($B147,'Dermal Exposure'!$A$6:$L$19,4,FALSE))),"--")</f>
        <v>--</v>
      </c>
      <c r="L147" s="88">
        <f>IFERROR(VLOOKUP($D147,$Y$9:$AB$10,2,FALSE)/IF($D147="Inhalation",IF($J147="Central Tendency",SUMIFS('Inhalation Exposure_8-hr'!$H$6:$H$411,'Inhalation Exposure_8-hr'!$B$6:$B$411,$B147,'Inhalation Exposure_8-hr'!$D$6:$D$411,$C147),SUMIFS('Inhalation Exposure_8-hr'!$I$6:$I$411,'Inhalation Exposure_8-hr'!$B$6:$B$411,$B147,'Inhalation Exposure_8-hr'!$D$6:$D$411,$C147)),IF($J147="Central Tendency",VLOOKUP($B147,'Dermal Exposure'!$A$6:$L$19,9,FALSE),VLOOKUP($B147,'Dermal Exposure'!$A$6:$L$19,4,FALSE))),"--")</f>
        <v>310.96675889169575</v>
      </c>
      <c r="M147" s="88">
        <f>IFERROR(VLOOKUP($D147,$Y$9:$AB$10,3,FALSE)/IF($D147="Inhalation",IF($J147="Central Tendency",SUMIFS('Inhalation Exposure_8-hr'!$L$6:$L$411,'Inhalation Exposure_8-hr'!$B$6:$B$411,$B147,'Inhalation Exposure_8-hr'!$D$6:$D$411,$C147),SUMIFS('Inhalation Exposure_8-hr'!$M$6:$M$411,'Inhalation Exposure_8-hr'!$B$6:$B$411,$B147,'Inhalation Exposure_8-hr'!$D$6:$D$411,$C147)),IF($J147="Central Tendency",VLOOKUP($B147,'Dermal Exposure'!$A$6:$L$19,10,FALSE),VLOOKUP($B147,'Dermal Exposure'!$A$6:$L$19,5,FALSE))),"--")</f>
        <v>9.1943682950034429</v>
      </c>
      <c r="N147" s="89">
        <f>IFERROR(VLOOKUP($D147,$Y$9:$AB$10,4,FALSE)/IF($D147="Inhalation",IF($J147="Central Tendency",SUMIFS('Inhalation Exposure_8-hr'!$N$6:$N$411,'Inhalation Exposure_8-hr'!$B$6:$B$411,$B147,'Inhalation Exposure_8-hr'!$D$6:$D$411,$C147),SUMIFS('Inhalation Exposure_8-hr'!$O$6:$O$411,'Inhalation Exposure_8-hr'!$B$6:$B$411,$B147,'Inhalation Exposure_8-hr'!$D$6:$D$411,$C147)),IF($J147="Central Tendency",VLOOKUP($B147,'Dermal Exposure'!$A$6:$L$19,11,FALSE),VLOOKUP($B147,'Dermal Exposure'!$A$6:$L$19,6,FALSE))),"--")</f>
        <v>9.8441036545170224</v>
      </c>
      <c r="O147" s="91" t="str">
        <f>IFERROR(K147*T147, "--")</f>
        <v>--</v>
      </c>
      <c r="P147" s="91">
        <f>IFERROR(L147*U147, "--")</f>
        <v>3109.6675889169574</v>
      </c>
      <c r="Q147" s="91">
        <f>IFERROR(M147*V147, "--")</f>
        <v>459.71841475017214</v>
      </c>
      <c r="R147" s="91">
        <f>IFERROR(N147*W147, "--")</f>
        <v>492.2051827258511</v>
      </c>
      <c r="T147" s="109">
        <v>10</v>
      </c>
      <c r="U147" s="110">
        <v>10</v>
      </c>
      <c r="V147" s="110">
        <v>50</v>
      </c>
      <c r="W147" s="111">
        <v>50</v>
      </c>
    </row>
    <row r="148" spans="2:23" ht="15" thickBot="1" x14ac:dyDescent="0.4">
      <c r="B148" s="82" t="s">
        <v>483</v>
      </c>
      <c r="C148" s="83" t="s">
        <v>68</v>
      </c>
      <c r="D148" s="83" t="s">
        <v>107</v>
      </c>
      <c r="E148" s="98"/>
      <c r="F148" s="122"/>
      <c r="G148" s="112"/>
      <c r="H148" s="118"/>
      <c r="I148" s="113"/>
      <c r="J148" s="113"/>
      <c r="K148" s="103"/>
      <c r="L148" s="103"/>
      <c r="M148" s="103"/>
      <c r="N148" s="104"/>
      <c r="O148" s="105" t="str">
        <f>CONCATENATE("(APF ",T147,")")</f>
        <v>(APF 10)</v>
      </c>
      <c r="P148" s="105" t="str">
        <f>CONCATENATE("(APF ",U147,")")</f>
        <v>(APF 10)</v>
      </c>
      <c r="Q148" s="105" t="str">
        <f>CONCATENATE("(APF ",V147,")")</f>
        <v>(APF 50)</v>
      </c>
      <c r="R148" s="105" t="str">
        <f>CONCATENATE("(APF ",W147,")")</f>
        <v>(APF 50)</v>
      </c>
      <c r="T148" s="114" t="s">
        <v>111</v>
      </c>
      <c r="U148" s="115" t="s">
        <v>111</v>
      </c>
      <c r="V148" s="115" t="s">
        <v>111</v>
      </c>
      <c r="W148" s="116" t="s">
        <v>111</v>
      </c>
    </row>
    <row r="149" spans="2:23" ht="15.75" customHeight="1" thickBot="1" x14ac:dyDescent="0.4">
      <c r="B149" s="82" t="s">
        <v>484</v>
      </c>
      <c r="C149" s="83" t="s">
        <v>80</v>
      </c>
      <c r="D149" s="83" t="s">
        <v>107</v>
      </c>
      <c r="E149" s="98"/>
      <c r="F149" s="122"/>
      <c r="G149" s="85" t="s">
        <v>490</v>
      </c>
      <c r="H149" s="86" t="s">
        <v>80</v>
      </c>
      <c r="I149" s="86" t="s">
        <v>110</v>
      </c>
      <c r="J149" s="86" t="s">
        <v>71</v>
      </c>
      <c r="K149" s="88" t="str">
        <f>IFERROR(VLOOKUP($D149,$Y$9:$AB$10,2,FALSE)/IF($D149="Inhalation",IF($J149="Central Tendency",SUMIFS('Inhalation Exposure_Short-Term'!$F$7:$F$397,'Inhalation Exposure_Short-Term'!$B$7:$B$397,$B149,'Inhalation Exposure_Short-Term'!$D$7:$D$397,$C149),SUMIFS('Inhalation Exposure_Short-Term'!$G$7:$G$397,'Inhalation Exposure_Short-Term'!$B$7:$B$397,$B149,'Inhalation Exposure_Short-Term'!$D$7:$D$397,$C149)),IF($J149="Central Tendency",VLOOKUP($B149,'Dermal Exposure'!$A$6:$L$19,9,FALSE),VLOOKUP($B149,'Dermal Exposure'!$A$6:$L$19,4,FALSE))),"--")</f>
        <v>--</v>
      </c>
      <c r="L149" s="88">
        <f>IFERROR(VLOOKUP($D149,$Y$9:$AB$10,2,FALSE)/IF($D149="Inhalation",IF($J149="Central Tendency",SUMIFS('Inhalation Exposure_8-hr'!$H$6:$H$411,'Inhalation Exposure_8-hr'!$B$6:$B$411,$B149,'Inhalation Exposure_8-hr'!$D$6:$D$411,$C149),SUMIFS('Inhalation Exposure_8-hr'!$I$6:$I$411,'Inhalation Exposure_8-hr'!$B$6:$B$411,$B149,'Inhalation Exposure_8-hr'!$D$6:$D$411,$C149)),IF($J149="Central Tendency",VLOOKUP($B149,'Dermal Exposure'!$A$6:$L$19,9,FALSE),VLOOKUP($B149,'Dermal Exposure'!$A$6:$L$19,4,FALSE))),"--")</f>
        <v>115404.98846625767</v>
      </c>
      <c r="M149" s="88">
        <f>IFERROR(VLOOKUP($D149,$Y$9:$AB$10,3,FALSE)/IF($D149="Inhalation",IF($J149="Central Tendency",SUMIFS('Inhalation Exposure_8-hr'!$L$6:$L$411,'Inhalation Exposure_8-hr'!$B$6:$B$411,$B149,'Inhalation Exposure_8-hr'!$D$6:$D$411,$C149),SUMIFS('Inhalation Exposure_8-hr'!$M$6:$M$411,'Inhalation Exposure_8-hr'!$B$6:$B$411,$B149,'Inhalation Exposure_8-hr'!$D$6:$D$411,$C149)),IF($J149="Central Tendency",VLOOKUP($B149,'Dermal Exposure'!$A$6:$L$19,10,FALSE),VLOOKUP($B149,'Dermal Exposure'!$A$6:$L$19,5,FALSE))),"--")</f>
        <v>3412.1845396631343</v>
      </c>
      <c r="N149" s="89">
        <f>IFERROR(VLOOKUP($D149,$Y$9:$AB$10,4,FALSE)/IF($D149="Inhalation",IF($J149="Central Tendency",SUMIFS('Inhalation Exposure_8-hr'!$N$6:$N$411,'Inhalation Exposure_8-hr'!$B$6:$B$411,$B149,'Inhalation Exposure_8-hr'!$D$6:$D$411,$C149),SUMIFS('Inhalation Exposure_8-hr'!$O$6:$O$411,'Inhalation Exposure_8-hr'!$B$6:$B$411,$B149,'Inhalation Exposure_8-hr'!$D$6:$D$411,$C149)),IF($J149="Central Tendency",VLOOKUP($B149,'Dermal Exposure'!$A$6:$L$19,11,FALSE),VLOOKUP($B149,'Dermal Exposure'!$A$6:$L$19,6,FALSE))),"--")</f>
        <v>3653.3122471326624</v>
      </c>
      <c r="O149" s="91" t="str">
        <f>IFERROR(K149*T149, "--")</f>
        <v>--</v>
      </c>
      <c r="P149" s="91">
        <f>IFERROR(L149*U149, "--")</f>
        <v>1154049.8846625767</v>
      </c>
      <c r="Q149" s="91">
        <f>IFERROR(M149*V149, "--")</f>
        <v>34121.845396631339</v>
      </c>
      <c r="R149" s="91">
        <f>IFERROR(N149*W149, "--")</f>
        <v>36533.122471326627</v>
      </c>
      <c r="T149" s="92">
        <v>10</v>
      </c>
      <c r="U149" s="93">
        <v>10</v>
      </c>
      <c r="V149" s="93">
        <v>10</v>
      </c>
      <c r="W149" s="94">
        <v>10</v>
      </c>
    </row>
    <row r="150" spans="2:23" ht="15" thickBot="1" x14ac:dyDescent="0.4">
      <c r="B150" s="82" t="s">
        <v>484</v>
      </c>
      <c r="C150" s="83" t="s">
        <v>80</v>
      </c>
      <c r="D150" s="83" t="s">
        <v>107</v>
      </c>
      <c r="E150" s="98"/>
      <c r="F150" s="122"/>
      <c r="G150" s="99"/>
      <c r="H150" s="100"/>
      <c r="I150" s="101"/>
      <c r="J150" s="113"/>
      <c r="K150" s="103"/>
      <c r="L150" s="103"/>
      <c r="M150" s="103"/>
      <c r="N150" s="104"/>
      <c r="O150" s="105" t="str">
        <f>CONCATENATE("(APF ",T149,")")</f>
        <v>(APF 10)</v>
      </c>
      <c r="P150" s="105" t="str">
        <f>CONCATENATE("(APF ",U149,")")</f>
        <v>(APF 10)</v>
      </c>
      <c r="Q150" s="105" t="str">
        <f>CONCATENATE("(APF ",V149,")")</f>
        <v>(APF 10)</v>
      </c>
      <c r="R150" s="105" t="str">
        <f>CONCATENATE("(APF ",W149,")")</f>
        <v>(APF 10)</v>
      </c>
      <c r="T150" s="106" t="s">
        <v>111</v>
      </c>
      <c r="U150" s="107" t="s">
        <v>111</v>
      </c>
      <c r="V150" s="107" t="s">
        <v>111</v>
      </c>
      <c r="W150" s="108" t="s">
        <v>111</v>
      </c>
    </row>
    <row r="151" spans="2:23" ht="15" thickBot="1" x14ac:dyDescent="0.4">
      <c r="B151" s="82" t="s">
        <v>484</v>
      </c>
      <c r="C151" s="83" t="s">
        <v>80</v>
      </c>
      <c r="D151" s="83" t="s">
        <v>107</v>
      </c>
      <c r="E151" s="98"/>
      <c r="F151" s="122"/>
      <c r="G151" s="99"/>
      <c r="H151" s="100"/>
      <c r="I151" s="101"/>
      <c r="J151" s="86" t="s">
        <v>112</v>
      </c>
      <c r="K151" s="88" t="str">
        <f>IFERROR(VLOOKUP($D151,$Y$9:$AB$10,2,FALSE)/IF($D151="Inhalation",IF($J151="Central Tendency",SUMIFS('Inhalation Exposure_Short-Term'!$F$7:$F$397,'Inhalation Exposure_Short-Term'!$B$7:$B$397,$B151,'Inhalation Exposure_Short-Term'!$D$7:$D$397,$C151),SUMIFS('Inhalation Exposure_Short-Term'!$G$7:$G$397,'Inhalation Exposure_Short-Term'!$B$7:$B$397,$B151,'Inhalation Exposure_Short-Term'!$D$7:$D$397,$C151)),IF($J151="Central Tendency",VLOOKUP($B151,'Dermal Exposure'!$A$6:$L$19,9,FALSE),VLOOKUP($B151,'Dermal Exposure'!$A$6:$L$19,4,FALSE))),"--")</f>
        <v>--</v>
      </c>
      <c r="L151" s="88">
        <f>IFERROR(VLOOKUP($D151,$Y$9:$AB$10,2,FALSE)/IF($D151="Inhalation",IF($J151="Central Tendency",SUMIFS('Inhalation Exposure_8-hr'!$H$6:$H$411,'Inhalation Exposure_8-hr'!$B$6:$B$411,$B151,'Inhalation Exposure_8-hr'!$D$6:$D$411,$C151),SUMIFS('Inhalation Exposure_8-hr'!$I$6:$I$411,'Inhalation Exposure_8-hr'!$B$6:$B$411,$B151,'Inhalation Exposure_8-hr'!$D$6:$D$411,$C151)),IF($J151="Central Tendency",VLOOKUP($B151,'Dermal Exposure'!$A$6:$L$19,9,FALSE),VLOOKUP($B151,'Dermal Exposure'!$A$6:$L$19,4,FALSE))),"--")</f>
        <v>50899.999438208986</v>
      </c>
      <c r="M151" s="88">
        <f>IFERROR(VLOOKUP($D151,$Y$9:$AB$10,3,FALSE)/IF($D151="Inhalation",IF($J151="Central Tendency",SUMIFS('Inhalation Exposure_8-hr'!$L$6:$L$411,'Inhalation Exposure_8-hr'!$B$6:$B$411,$B151,'Inhalation Exposure_8-hr'!$D$6:$D$411,$C151),SUMIFS('Inhalation Exposure_8-hr'!$M$6:$M$411,'Inhalation Exposure_8-hr'!$B$6:$B$411,$B151,'Inhalation Exposure_8-hr'!$D$6:$D$411,$C151)),IF($J151="Central Tendency",VLOOKUP($B151,'Dermal Exposure'!$A$6:$L$19,10,FALSE),VLOOKUP($B151,'Dermal Exposure'!$A$6:$L$19,5,FALSE))),"--")</f>
        <v>1504.962597025863</v>
      </c>
      <c r="N151" s="89">
        <f>IFERROR(VLOOKUP($D151,$Y$9:$AB$10,4,FALSE)/IF($D151="Inhalation",IF($J151="Central Tendency",SUMIFS('Inhalation Exposure_8-hr'!$N$6:$N$411,'Inhalation Exposure_8-hr'!$B$6:$B$411,$B151,'Inhalation Exposure_8-hr'!$D$6:$D$411,$C151),SUMIFS('Inhalation Exposure_8-hr'!$O$6:$O$411,'Inhalation Exposure_8-hr'!$B$6:$B$411,$B151,'Inhalation Exposure_8-hr'!$D$6:$D$411,$C151)),IF($J151="Central Tendency",VLOOKUP($B151,'Dermal Exposure'!$A$6:$L$19,11,FALSE),VLOOKUP($B151,'Dermal Exposure'!$A$6:$L$19,6,FALSE))),"--")</f>
        <v>1611.3132872156912</v>
      </c>
      <c r="O151" s="91" t="str">
        <f>IFERROR(K151*T151, "--")</f>
        <v>--</v>
      </c>
      <c r="P151" s="91">
        <f>IFERROR(L151*U151, "--")</f>
        <v>508999.99438208988</v>
      </c>
      <c r="Q151" s="91">
        <f>IFERROR(M151*V151, "--")</f>
        <v>75248.129851293153</v>
      </c>
      <c r="R151" s="91">
        <f>IFERROR(N151*W151, "--")</f>
        <v>80565.664360784562</v>
      </c>
      <c r="T151" s="109">
        <v>10</v>
      </c>
      <c r="U151" s="110">
        <v>10</v>
      </c>
      <c r="V151" s="110">
        <v>50</v>
      </c>
      <c r="W151" s="111">
        <v>50</v>
      </c>
    </row>
    <row r="152" spans="2:23" ht="15" thickBot="1" x14ac:dyDescent="0.4">
      <c r="B152" s="82" t="s">
        <v>484</v>
      </c>
      <c r="C152" s="83" t="s">
        <v>80</v>
      </c>
      <c r="D152" s="83" t="s">
        <v>107</v>
      </c>
      <c r="E152" s="98"/>
      <c r="F152" s="123"/>
      <c r="G152" s="112"/>
      <c r="H152" s="118"/>
      <c r="I152" s="113"/>
      <c r="J152" s="113"/>
      <c r="K152" s="103"/>
      <c r="L152" s="103"/>
      <c r="M152" s="103"/>
      <c r="N152" s="104"/>
      <c r="O152" s="105" t="str">
        <f>CONCATENATE("(APF ",T151,")")</f>
        <v>(APF 10)</v>
      </c>
      <c r="P152" s="105" t="str">
        <f>CONCATENATE("(APF ",U151,")")</f>
        <v>(APF 10)</v>
      </c>
      <c r="Q152" s="105" t="str">
        <f>CONCATENATE("(APF ",V151,")")</f>
        <v>(APF 50)</v>
      </c>
      <c r="R152" s="105" t="str">
        <f>CONCATENATE("(APF ",W151,")")</f>
        <v>(APF 50)</v>
      </c>
      <c r="T152" s="114" t="s">
        <v>111</v>
      </c>
      <c r="U152" s="115" t="s">
        <v>111</v>
      </c>
      <c r="V152" s="115" t="s">
        <v>111</v>
      </c>
      <c r="W152" s="116" t="s">
        <v>111</v>
      </c>
    </row>
    <row r="153" spans="2:23" ht="15" thickBot="1" x14ac:dyDescent="0.4">
      <c r="B153" s="82">
        <v>5</v>
      </c>
      <c r="C153" s="83" t="s">
        <v>68</v>
      </c>
      <c r="D153" s="83" t="s">
        <v>58</v>
      </c>
      <c r="E153" s="98"/>
      <c r="F153" s="101" t="s">
        <v>525</v>
      </c>
      <c r="G153" s="85" t="s">
        <v>172</v>
      </c>
      <c r="H153" s="86" t="s">
        <v>68</v>
      </c>
      <c r="I153" s="101" t="s">
        <v>58</v>
      </c>
      <c r="J153" s="101" t="s">
        <v>71</v>
      </c>
      <c r="K153" s="88" t="s">
        <v>86</v>
      </c>
      <c r="L153" s="88" t="s">
        <v>86</v>
      </c>
      <c r="M153" s="88">
        <f>IFERROR(VLOOKUP($D153,$Y$9:$AB$10,3,FALSE)/IF($D153="Inhalation",IF($J153="Central Tendency",SUMIFS('Inhalation Exposure_8-hr'!$L$6:$L$411,'Inhalation Exposure_8-hr'!$B$6:$B$411,$B153,'Inhalation Exposure_8-hr'!$D$6:$D$411,$C153),SUMIFS('Inhalation Exposure_8-hr'!$M$6:$M$411,'Inhalation Exposure_8-hr'!$B$6:$B$411,$B153,'Inhalation Exposure_8-hr'!$D$6:$D$411,$C153)),IF($J153="Central Tendency",VLOOKUP($B153,'Dermal Exposure'!$A$6:$L$19,5,FALSE),VLOOKUP($B153,'Dermal Exposure'!$A$6:$L$19,10,FALSE))),"--")</f>
        <v>763.74790267590583</v>
      </c>
      <c r="N153" s="89">
        <f>IFERROR(VLOOKUP($D153,$Y$9:$AB$10,4,FALSE)/IF($D153="Inhalation",IF($J153="Central Tendency",SUMIFS('Inhalation Exposure_8-hr'!$N$6:$N$411,'Inhalation Exposure_8-hr'!$B$6:$B$411,$B153,'Inhalation Exposure_8-hr'!$D$6:$D$411,$C153),SUMIFS('Inhalation Exposure_8-hr'!$O$6:$O$411,'Inhalation Exposure_8-hr'!$B$6:$B$411,$B153,'Inhalation Exposure_8-hr'!$D$6:$D$411,$C153)),IF($J153="Central Tendency",VLOOKUP($B153,'Dermal Exposure'!$A$6:$L$19,6,FALSE),VLOOKUP($B153,'Dermal Exposure'!$A$6:$L$19,11,FALSE))),"--")</f>
        <v>817.71942113166983</v>
      </c>
      <c r="O153" s="91" t="str">
        <f>IFERROR(K153*T153, "--")</f>
        <v>--</v>
      </c>
      <c r="P153" s="91" t="str">
        <f>IFERROR(L153*U153, "--")</f>
        <v>--</v>
      </c>
      <c r="Q153" s="91">
        <f>IFERROR(M153*V153, "--")</f>
        <v>3818.7395133795289</v>
      </c>
      <c r="R153" s="91">
        <f>IFERROR(N153*W153, "--")</f>
        <v>4088.5971056583494</v>
      </c>
      <c r="T153" s="92">
        <v>5</v>
      </c>
      <c r="U153" s="93">
        <v>5</v>
      </c>
      <c r="V153" s="93">
        <v>5</v>
      </c>
      <c r="W153" s="94">
        <v>5</v>
      </c>
    </row>
    <row r="154" spans="2:23" ht="15" thickBot="1" x14ac:dyDescent="0.4">
      <c r="B154" s="82">
        <v>5</v>
      </c>
      <c r="C154" s="83" t="s">
        <v>68</v>
      </c>
      <c r="D154" s="83" t="s">
        <v>58</v>
      </c>
      <c r="E154" s="98"/>
      <c r="F154" s="101"/>
      <c r="G154" s="99"/>
      <c r="H154" s="100"/>
      <c r="I154" s="101"/>
      <c r="J154" s="113"/>
      <c r="K154" s="103"/>
      <c r="L154" s="103"/>
      <c r="M154" s="103"/>
      <c r="N154" s="104"/>
      <c r="O154" s="105" t="str">
        <f>CONCATENATE("(PF ",T153,")")</f>
        <v>(PF 5)</v>
      </c>
      <c r="P154" s="105" t="str">
        <f>CONCATENATE("(PF ",U153,")")</f>
        <v>(PF 5)</v>
      </c>
      <c r="Q154" s="105" t="str">
        <f>CONCATENATE("(PF ",V153,")")</f>
        <v>(PF 5)</v>
      </c>
      <c r="R154" s="105" t="str">
        <f>CONCATENATE("(PF ",W153,")")</f>
        <v>(PF 5)</v>
      </c>
      <c r="T154" s="106" t="s">
        <v>118</v>
      </c>
      <c r="U154" s="107" t="s">
        <v>118</v>
      </c>
      <c r="V154" s="107" t="s">
        <v>118</v>
      </c>
      <c r="W154" s="108" t="s">
        <v>118</v>
      </c>
    </row>
    <row r="155" spans="2:23" ht="15" thickBot="1" x14ac:dyDescent="0.4">
      <c r="B155" s="82">
        <v>5</v>
      </c>
      <c r="C155" s="83" t="s">
        <v>68</v>
      </c>
      <c r="D155" s="83" t="s">
        <v>58</v>
      </c>
      <c r="E155" s="98"/>
      <c r="F155" s="101"/>
      <c r="G155" s="99"/>
      <c r="H155" s="100"/>
      <c r="I155" s="101"/>
      <c r="J155" s="120" t="s">
        <v>112</v>
      </c>
      <c r="K155" s="88" t="s">
        <v>86</v>
      </c>
      <c r="L155" s="88" t="s">
        <v>86</v>
      </c>
      <c r="M155" s="88">
        <f>IFERROR(VLOOKUP($D155,$Y$9:$AB$10,3,FALSE)/IF($D155="Inhalation",IF($J155="Central Tendency",SUMIFS('Inhalation Exposure_8-hr'!$L$6:$L$411,'Inhalation Exposure_8-hr'!$B$6:$B$411,$B155,'Inhalation Exposure_8-hr'!$D$6:$D$411,$C155),SUMIFS('Inhalation Exposure_8-hr'!$M$6:$M$411,'Inhalation Exposure_8-hr'!$B$6:$B$411,$B155,'Inhalation Exposure_8-hr'!$D$6:$D$411,$C155)),IF($J155="Central Tendency",VLOOKUP($B155,'Dermal Exposure'!$A$6:$L$19,5,FALSE),VLOOKUP($B155,'Dermal Exposure'!$A$6:$L$19,10,FALSE))),"--")</f>
        <v>169.0153883382269</v>
      </c>
      <c r="N155" s="89">
        <f>IFERROR(VLOOKUP($D155,$Y$9:$AB$10,4,FALSE)/IF($D155="Inhalation",IF($J155="Central Tendency",SUMIFS('Inhalation Exposure_8-hr'!$N$6:$N$411,'Inhalation Exposure_8-hr'!$B$6:$B$411,$B155,'Inhalation Exposure_8-hr'!$D$6:$D$411,$C155),SUMIFS('Inhalation Exposure_8-hr'!$O$6:$O$411,'Inhalation Exposure_8-hr'!$B$6:$B$411,$B155,'Inhalation Exposure_8-hr'!$D$6:$D$411,$C155)),IF($J155="Central Tendency",VLOOKUP($B155,'Dermal Exposure'!$A$6:$L$19,6,FALSE),VLOOKUP($B155,'Dermal Exposure'!$A$6:$L$19,11,FALSE))),"--")</f>
        <v>180.9591424474616</v>
      </c>
      <c r="O155" s="91" t="str">
        <f>IFERROR(K155*T155, "--")</f>
        <v>--</v>
      </c>
      <c r="P155" s="91" t="str">
        <f>IFERROR(L155*U155, "--")</f>
        <v>--</v>
      </c>
      <c r="Q155" s="91">
        <f>IFERROR(M155*V155, "--")</f>
        <v>845.07694169113449</v>
      </c>
      <c r="R155" s="91">
        <f>IFERROR(N155*W155, "--")</f>
        <v>904.79571223730795</v>
      </c>
      <c r="T155" s="109">
        <v>5</v>
      </c>
      <c r="U155" s="110">
        <v>5</v>
      </c>
      <c r="V155" s="110">
        <v>5</v>
      </c>
      <c r="W155" s="111">
        <v>5</v>
      </c>
    </row>
    <row r="156" spans="2:23" ht="15" thickBot="1" x14ac:dyDescent="0.4">
      <c r="B156" s="82">
        <v>5</v>
      </c>
      <c r="C156" s="83" t="s">
        <v>68</v>
      </c>
      <c r="D156" s="83" t="s">
        <v>58</v>
      </c>
      <c r="E156" s="98"/>
      <c r="F156" s="113"/>
      <c r="G156" s="112"/>
      <c r="H156" s="118"/>
      <c r="I156" s="113"/>
      <c r="J156" s="102"/>
      <c r="K156" s="103"/>
      <c r="L156" s="103"/>
      <c r="M156" s="103"/>
      <c r="N156" s="104"/>
      <c r="O156" s="105" t="str">
        <f>CONCATENATE("(PF ",T155,")")</f>
        <v>(PF 5)</v>
      </c>
      <c r="P156" s="105" t="str">
        <f>CONCATENATE("(PF ",U155,")")</f>
        <v>(PF 5)</v>
      </c>
      <c r="Q156" s="105" t="str">
        <f>CONCATENATE("(PF ",V155,")")</f>
        <v>(PF 5)</v>
      </c>
      <c r="R156" s="105" t="str">
        <f>CONCATENATE("(PF ",W155,")")</f>
        <v>(PF 5)</v>
      </c>
      <c r="T156" s="114" t="s">
        <v>118</v>
      </c>
      <c r="U156" s="115" t="s">
        <v>118</v>
      </c>
      <c r="V156" s="115" t="s">
        <v>118</v>
      </c>
      <c r="W156" s="116" t="s">
        <v>118</v>
      </c>
    </row>
    <row r="157" spans="2:23" ht="15.75" customHeight="1" thickBot="1" x14ac:dyDescent="0.4">
      <c r="B157" s="82" t="s">
        <v>491</v>
      </c>
      <c r="C157" s="83" t="s">
        <v>68</v>
      </c>
      <c r="D157" s="83" t="s">
        <v>107</v>
      </c>
      <c r="E157" s="84" t="s">
        <v>206</v>
      </c>
      <c r="F157" s="84" t="s">
        <v>207</v>
      </c>
      <c r="G157" s="85" t="s">
        <v>496</v>
      </c>
      <c r="H157" s="86" t="s">
        <v>68</v>
      </c>
      <c r="I157" s="86" t="s">
        <v>110</v>
      </c>
      <c r="J157" s="86" t="s">
        <v>71</v>
      </c>
      <c r="K157" s="88" t="str">
        <f>IFERROR(VLOOKUP($D157,$Y$9:$AB$10,2,FALSE)/IF($D157="Inhalation",IF($J157="Central Tendency",SUMIFS('Inhalation Exposure_Short-Term'!$F$7:$F$397,'Inhalation Exposure_Short-Term'!$B$7:$B$397,$B157,'Inhalation Exposure_Short-Term'!$D$7:$D$397,$C157),SUMIFS('Inhalation Exposure_Short-Term'!$G$7:$G$397,'Inhalation Exposure_Short-Term'!$B$7:$B$397,$B157,'Inhalation Exposure_Short-Term'!$D$7:$D$397,$C157)),IF($J157="Central Tendency",VLOOKUP($B157,'Dermal Exposure'!$A$6:$L$19,9,FALSE),VLOOKUP($B157,'Dermal Exposure'!$A$6:$L$19,4,FALSE))),"--")</f>
        <v>--</v>
      </c>
      <c r="L157" s="88">
        <f>IFERROR(VLOOKUP($D157,$Y$9:$AB$10,2,FALSE)/IF($D157="Inhalation",IF($J157="Central Tendency",SUMIFS('Inhalation Exposure_8-hr'!$H$6:$H$411,'Inhalation Exposure_8-hr'!$B$6:$B$411,$B157,'Inhalation Exposure_8-hr'!$D$6:$D$411,$C157),SUMIFS('Inhalation Exposure_8-hr'!$I$6:$I$411,'Inhalation Exposure_8-hr'!$B$6:$B$411,$B157,'Inhalation Exposure_8-hr'!$D$6:$D$411,$C157)),IF($J157="Central Tendency",VLOOKUP($B157,'Dermal Exposure'!$A$6:$L$19,9,FALSE),VLOOKUP($B157,'Dermal Exposure'!$A$6:$L$19,4,FALSE))),"--")</f>
        <v>566.40373940987433</v>
      </c>
      <c r="M157" s="88">
        <f>IFERROR(VLOOKUP($D157,$Y$9:$AB$10,3,FALSE)/IF($D157="Inhalation",IF($J157="Central Tendency",SUMIFS('Inhalation Exposure_8-hr'!$L$6:$L$411,'Inhalation Exposure_8-hr'!$B$6:$B$411,$B157,'Inhalation Exposure_8-hr'!$D$6:$D$411,$C157),SUMIFS('Inhalation Exposure_8-hr'!$M$6:$M$411,'Inhalation Exposure_8-hr'!$B$6:$B$411,$B157,'Inhalation Exposure_8-hr'!$D$6:$D$411,$C157)),IF($J157="Central Tendency",VLOOKUP($B157,'Dermal Exposure'!$A$6:$L$19,10,FALSE),VLOOKUP($B157,'Dermal Exposure'!$A$6:$L$19,5,FALSE))),"--")</f>
        <v>16.74688510875627</v>
      </c>
      <c r="N157" s="89">
        <f>IFERROR(VLOOKUP($D157,$Y$9:$AB$10,4,FALSE)/IF($D157="Inhalation",IF($J157="Central Tendency",SUMIFS('Inhalation Exposure_8-hr'!$N$6:$N$411,'Inhalation Exposure_8-hr'!$B$6:$B$411,$B157,'Inhalation Exposure_8-hr'!$D$6:$D$411,$C157),SUMIFS('Inhalation Exposure_8-hr'!$O$6:$O$411,'Inhalation Exposure_8-hr'!$B$6:$B$411,$B157,'Inhalation Exposure_8-hr'!$D$6:$D$411,$C157)),IF($J157="Central Tendency",VLOOKUP($B157,'Dermal Exposure'!$A$6:$L$19,11,FALSE),VLOOKUP($B157,'Dermal Exposure'!$A$6:$L$19,6,FALSE))),"--")</f>
        <v>17.930331656441716</v>
      </c>
      <c r="O157" s="91" t="str">
        <f>IFERROR(K157*T157, "--")</f>
        <v>--</v>
      </c>
      <c r="P157" s="91">
        <f>IFERROR(L157*U157, "--")</f>
        <v>5664.0373940987429</v>
      </c>
      <c r="Q157" s="91">
        <f>IFERROR(M157*V157, "--")</f>
        <v>167.46885108756271</v>
      </c>
      <c r="R157" s="91">
        <f>IFERROR(N157*W157, "--")</f>
        <v>179.30331656441717</v>
      </c>
      <c r="T157" s="92">
        <v>10</v>
      </c>
      <c r="U157" s="93">
        <v>10</v>
      </c>
      <c r="V157" s="93">
        <v>10</v>
      </c>
      <c r="W157" s="94">
        <v>10</v>
      </c>
    </row>
    <row r="158" spans="2:23" ht="15" customHeight="1" thickBot="1" x14ac:dyDescent="0.4">
      <c r="B158" s="82" t="s">
        <v>491</v>
      </c>
      <c r="C158" s="83" t="s">
        <v>68</v>
      </c>
      <c r="D158" s="83" t="s">
        <v>107</v>
      </c>
      <c r="E158" s="98"/>
      <c r="F158" s="98"/>
      <c r="G158" s="99"/>
      <c r="H158" s="100"/>
      <c r="I158" s="101"/>
      <c r="J158" s="113"/>
      <c r="K158" s="103"/>
      <c r="L158" s="103"/>
      <c r="M158" s="103"/>
      <c r="N158" s="104"/>
      <c r="O158" s="105" t="str">
        <f>CONCATENATE("(APF ",T157,")")</f>
        <v>(APF 10)</v>
      </c>
      <c r="P158" s="105" t="str">
        <f>CONCATENATE("(APF ",U157,")")</f>
        <v>(APF 10)</v>
      </c>
      <c r="Q158" s="105" t="str">
        <f>CONCATENATE("(APF ",V157,")")</f>
        <v>(APF 10)</v>
      </c>
      <c r="R158" s="105" t="str">
        <f>CONCATENATE("(APF ",W157,")")</f>
        <v>(APF 10)</v>
      </c>
      <c r="T158" s="106" t="s">
        <v>111</v>
      </c>
      <c r="U158" s="107" t="s">
        <v>111</v>
      </c>
      <c r="V158" s="107" t="s">
        <v>111</v>
      </c>
      <c r="W158" s="108" t="s">
        <v>111</v>
      </c>
    </row>
    <row r="159" spans="2:23" ht="15" thickBot="1" x14ac:dyDescent="0.4">
      <c r="B159" s="82" t="s">
        <v>491</v>
      </c>
      <c r="C159" s="83" t="s">
        <v>68</v>
      </c>
      <c r="D159" s="83" t="s">
        <v>107</v>
      </c>
      <c r="E159" s="98"/>
      <c r="F159" s="98"/>
      <c r="G159" s="99"/>
      <c r="H159" s="100"/>
      <c r="I159" s="101"/>
      <c r="J159" s="86" t="s">
        <v>112</v>
      </c>
      <c r="K159" s="88" t="str">
        <f>IFERROR(VLOOKUP($D159,$Y$9:$AB$10,2,FALSE)/IF($D159="Inhalation",IF($J159="Central Tendency",SUMIFS('Inhalation Exposure_Short-Term'!$F$7:$F$397,'Inhalation Exposure_Short-Term'!$B$7:$B$397,$B159,'Inhalation Exposure_Short-Term'!$D$7:$D$397,$C159),SUMIFS('Inhalation Exposure_Short-Term'!$G$7:$G$397,'Inhalation Exposure_Short-Term'!$B$7:$B$397,$B159,'Inhalation Exposure_Short-Term'!$D$7:$D$397,$C159)),IF($J159="Central Tendency",VLOOKUP($B159,'Dermal Exposure'!$A$6:$L$19,9,FALSE),VLOOKUP($B159,'Dermal Exposure'!$A$6:$L$19,4,FALSE))),"--")</f>
        <v>--</v>
      </c>
      <c r="L159" s="88">
        <f>IFERROR(VLOOKUP($D159,$Y$9:$AB$10,2,FALSE)/IF($D159="Inhalation",IF($J159="Central Tendency",SUMIFS('Inhalation Exposure_8-hr'!$H$6:$H$411,'Inhalation Exposure_8-hr'!$B$6:$B$411,$B159,'Inhalation Exposure_8-hr'!$D$6:$D$411,$C159),SUMIFS('Inhalation Exposure_8-hr'!$I$6:$I$411,'Inhalation Exposure_8-hr'!$B$6:$B$411,$B159,'Inhalation Exposure_8-hr'!$D$6:$D$411,$C159)),IF($J159="Central Tendency",VLOOKUP($B159,'Dermal Exposure'!$A$6:$L$19,9,FALSE),VLOOKUP($B159,'Dermal Exposure'!$A$6:$L$19,4,FALSE))),"--")</f>
        <v>279.21311097669872</v>
      </c>
      <c r="M159" s="88">
        <f>IFERROR(VLOOKUP($D159,$Y$9:$AB$10,3,FALSE)/IF($D159="Inhalation",IF($J159="Central Tendency",SUMIFS('Inhalation Exposure_8-hr'!$L$6:$L$411,'Inhalation Exposure_8-hr'!$B$6:$B$411,$B159,'Inhalation Exposure_8-hr'!$D$6:$D$411,$C159),SUMIFS('Inhalation Exposure_8-hr'!$M$6:$M$411,'Inhalation Exposure_8-hr'!$B$6:$B$411,$B159,'Inhalation Exposure_8-hr'!$D$6:$D$411,$C159)),IF($J159="Central Tendency",VLOOKUP($B159,'Dermal Exposure'!$A$6:$L$19,10,FALSE),VLOOKUP($B159,'Dermal Exposure'!$A$6:$L$19,5,FALSE))),"--")</f>
        <v>8.2555067437530951</v>
      </c>
      <c r="N159" s="89">
        <f>IFERROR(VLOOKUP($D159,$Y$9:$AB$10,4,FALSE)/IF($D159="Inhalation",IF($J159="Central Tendency",SUMIFS('Inhalation Exposure_8-hr'!$N$6:$N$411,'Inhalation Exposure_8-hr'!$B$6:$B$411,$B159,'Inhalation Exposure_8-hr'!$D$6:$D$411,$C159),SUMIFS('Inhalation Exposure_8-hr'!$O$6:$O$411,'Inhalation Exposure_8-hr'!$B$6:$B$411,$B159,'Inhalation Exposure_8-hr'!$D$6:$D$411,$C159)),IF($J159="Central Tendency",VLOOKUP($B159,'Dermal Exposure'!$A$6:$L$19,11,FALSE),VLOOKUP($B159,'Dermal Exposure'!$A$6:$L$19,6,FALSE))),"--")</f>
        <v>8.8388958869783139</v>
      </c>
      <c r="O159" s="91" t="str">
        <f>IFERROR(K159*T159, "--")</f>
        <v>--</v>
      </c>
      <c r="P159" s="91">
        <f>IFERROR(L159*U159, "--")</f>
        <v>2792.1311097669873</v>
      </c>
      <c r="Q159" s="91">
        <f>IFERROR(M159*V159, "--")</f>
        <v>82.555067437530951</v>
      </c>
      <c r="R159" s="91">
        <f>IFERROR(N159*W159, "--")</f>
        <v>441.94479434891571</v>
      </c>
      <c r="T159" s="109">
        <v>10</v>
      </c>
      <c r="U159" s="110">
        <v>10</v>
      </c>
      <c r="V159" s="110">
        <v>10</v>
      </c>
      <c r="W159" s="111">
        <v>50</v>
      </c>
    </row>
    <row r="160" spans="2:23" ht="15" customHeight="1" thickBot="1" x14ac:dyDescent="0.4">
      <c r="B160" s="82" t="s">
        <v>491</v>
      </c>
      <c r="C160" s="83" t="s">
        <v>68</v>
      </c>
      <c r="D160" s="83" t="s">
        <v>107</v>
      </c>
      <c r="E160" s="98"/>
      <c r="F160" s="98"/>
      <c r="G160" s="112"/>
      <c r="H160" s="118"/>
      <c r="I160" s="113"/>
      <c r="J160" s="113"/>
      <c r="K160" s="103"/>
      <c r="L160" s="103"/>
      <c r="M160" s="103"/>
      <c r="N160" s="104"/>
      <c r="O160" s="105" t="str">
        <f>CONCATENATE("(APF ",T159,")")</f>
        <v>(APF 10)</v>
      </c>
      <c r="P160" s="105" t="str">
        <f>CONCATENATE("(APF ",U159,")")</f>
        <v>(APF 10)</v>
      </c>
      <c r="Q160" s="105" t="str">
        <f>CONCATENATE("(APF ",V159,")")</f>
        <v>(APF 10)</v>
      </c>
      <c r="R160" s="105" t="str">
        <f>CONCATENATE("(APF ",W159,")")</f>
        <v>(APF 50)</v>
      </c>
      <c r="T160" s="114" t="s">
        <v>111</v>
      </c>
      <c r="U160" s="115" t="s">
        <v>111</v>
      </c>
      <c r="V160" s="115" t="s">
        <v>111</v>
      </c>
      <c r="W160" s="116" t="s">
        <v>111</v>
      </c>
    </row>
    <row r="161" spans="2:23" ht="15.75" customHeight="1" thickBot="1" x14ac:dyDescent="0.4">
      <c r="B161" s="82" t="s">
        <v>493</v>
      </c>
      <c r="C161" s="83" t="s">
        <v>68</v>
      </c>
      <c r="D161" s="83" t="s">
        <v>107</v>
      </c>
      <c r="E161" s="98"/>
      <c r="F161" s="98"/>
      <c r="G161" s="85" t="s">
        <v>500</v>
      </c>
      <c r="H161" s="86" t="s">
        <v>68</v>
      </c>
      <c r="I161" s="86" t="s">
        <v>110</v>
      </c>
      <c r="J161" s="86" t="s">
        <v>71</v>
      </c>
      <c r="K161" s="88" t="str">
        <f>IFERROR(VLOOKUP($D161,$Y$9:$AB$10,2,FALSE)/IF($D161="Inhalation",IF($J161="Central Tendency",SUMIFS('Inhalation Exposure_Short-Term'!$F$7:$F$397,'Inhalation Exposure_Short-Term'!$B$7:$B$397,$B161,'Inhalation Exposure_Short-Term'!$D$7:$D$397,$C161),SUMIFS('Inhalation Exposure_Short-Term'!$G$7:$G$397,'Inhalation Exposure_Short-Term'!$B$7:$B$397,$B161,'Inhalation Exposure_Short-Term'!$D$7:$D$397,$C161)),IF($J161="Central Tendency",VLOOKUP($B161,'Dermal Exposure'!$A$6:$L$19,9,FALSE),VLOOKUP($B161,'Dermal Exposure'!$A$6:$L$19,4,FALSE))),"--")</f>
        <v>--</v>
      </c>
      <c r="L161" s="88">
        <f>IFERROR(VLOOKUP($D161,$Y$9:$AB$10,2,FALSE)/IF($D161="Inhalation",IF($J161="Central Tendency",SUMIFS('Inhalation Exposure_8-hr'!$H$6:$H$411,'Inhalation Exposure_8-hr'!$B$6:$B$411,$B161,'Inhalation Exposure_8-hr'!$D$6:$D$411,$C161),SUMIFS('Inhalation Exposure_8-hr'!$I$6:$I$411,'Inhalation Exposure_8-hr'!$B$6:$B$411,$B161,'Inhalation Exposure_8-hr'!$D$6:$D$411,$C161)),IF($J161="Central Tendency",VLOOKUP($B161,'Dermal Exposure'!$A$6:$L$19,9,FALSE),VLOOKUP($B161,'Dermal Exposure'!$A$6:$L$19,4,FALSE))),"--")</f>
        <v>1511.7297358147412</v>
      </c>
      <c r="M161" s="88">
        <f>IFERROR(VLOOKUP($D161,$Y$9:$AB$10,3,FALSE)/IF($D161="Inhalation",IF($J161="Central Tendency",SUMIFS('Inhalation Exposure_8-hr'!$L$6:$L$411,'Inhalation Exposure_8-hr'!$B$6:$B$411,$B161,'Inhalation Exposure_8-hr'!$D$6:$D$411,$C161),SUMIFS('Inhalation Exposure_8-hr'!$M$6:$M$411,'Inhalation Exposure_8-hr'!$B$6:$B$411,$B161,'Inhalation Exposure_8-hr'!$D$6:$D$411,$C161)),IF($J161="Central Tendency",VLOOKUP($B161,'Dermal Exposure'!$A$6:$L$19,10,FALSE),VLOOKUP($B161,'Dermal Exposure'!$A$6:$L$19,5,FALSE))),"--")</f>
        <v>44.697381813822446</v>
      </c>
      <c r="N161" s="89">
        <f>IFERROR(VLOOKUP($D161,$Y$9:$AB$10,4,FALSE)/IF($D161="Inhalation",IF($J161="Central Tendency",SUMIFS('Inhalation Exposure_8-hr'!$N$6:$N$411,'Inhalation Exposure_8-hr'!$B$6:$B$411,$B161,'Inhalation Exposure_8-hr'!$D$6:$D$411,$C161),SUMIFS('Inhalation Exposure_8-hr'!$O$6:$O$411,'Inhalation Exposure_8-hr'!$B$6:$B$411,$B161,'Inhalation Exposure_8-hr'!$D$6:$D$411,$C161)),IF($J161="Central Tendency",VLOOKUP($B161,'Dermal Exposure'!$A$6:$L$19,11,FALSE),VLOOKUP($B161,'Dermal Exposure'!$A$6:$L$19,6,FALSE))),"--")</f>
        <v>47.855996795332558</v>
      </c>
      <c r="O161" s="91" t="str">
        <f>IFERROR(K161*T161, "--")</f>
        <v>--</v>
      </c>
      <c r="P161" s="91">
        <f>IFERROR(L161*U161, "--")</f>
        <v>15117.297358147411</v>
      </c>
      <c r="Q161" s="91">
        <f>IFERROR(M161*V161, "--")</f>
        <v>446.97381813822449</v>
      </c>
      <c r="R161" s="91">
        <f>IFERROR(N161*W161, "--")</f>
        <v>478.55996795332555</v>
      </c>
      <c r="T161" s="92">
        <v>10</v>
      </c>
      <c r="U161" s="93">
        <v>10</v>
      </c>
      <c r="V161" s="93">
        <v>10</v>
      </c>
      <c r="W161" s="94">
        <v>10</v>
      </c>
    </row>
    <row r="162" spans="2:23" ht="15" thickBot="1" x14ac:dyDescent="0.4">
      <c r="B162" s="82" t="s">
        <v>493</v>
      </c>
      <c r="C162" s="83" t="s">
        <v>68</v>
      </c>
      <c r="D162" s="83" t="s">
        <v>107</v>
      </c>
      <c r="E162" s="98"/>
      <c r="F162" s="98"/>
      <c r="G162" s="99"/>
      <c r="H162" s="101"/>
      <c r="I162" s="101"/>
      <c r="J162" s="113"/>
      <c r="K162" s="103"/>
      <c r="L162" s="103"/>
      <c r="M162" s="103"/>
      <c r="N162" s="104"/>
      <c r="O162" s="105" t="str">
        <f>CONCATENATE("(APF ",T161,")")</f>
        <v>(APF 10)</v>
      </c>
      <c r="P162" s="105" t="str">
        <f>CONCATENATE("(APF ",U161,")")</f>
        <v>(APF 10)</v>
      </c>
      <c r="Q162" s="105" t="str">
        <f>CONCATENATE("(APF ",V161,")")</f>
        <v>(APF 10)</v>
      </c>
      <c r="R162" s="105" t="str">
        <f>CONCATENATE("(APF ",W161,")")</f>
        <v>(APF 10)</v>
      </c>
      <c r="T162" s="106" t="s">
        <v>111</v>
      </c>
      <c r="U162" s="107" t="s">
        <v>111</v>
      </c>
      <c r="V162" s="107" t="s">
        <v>111</v>
      </c>
      <c r="W162" s="108" t="s">
        <v>111</v>
      </c>
    </row>
    <row r="163" spans="2:23" ht="15" thickBot="1" x14ac:dyDescent="0.4">
      <c r="B163" s="82" t="s">
        <v>493</v>
      </c>
      <c r="C163" s="83" t="s">
        <v>68</v>
      </c>
      <c r="D163" s="83" t="s">
        <v>107</v>
      </c>
      <c r="E163" s="98"/>
      <c r="F163" s="98"/>
      <c r="G163" s="99"/>
      <c r="H163" s="101"/>
      <c r="I163" s="101"/>
      <c r="J163" s="86" t="s">
        <v>112</v>
      </c>
      <c r="K163" s="88" t="str">
        <f>IFERROR(VLOOKUP($D163,$Y$9:$AB$10,2,FALSE)/IF($D163="Inhalation",IF($J163="Central Tendency",SUMIFS('Inhalation Exposure_Short-Term'!$F$7:$F$397,'Inhalation Exposure_Short-Term'!$B$7:$B$397,$B163,'Inhalation Exposure_Short-Term'!$D$7:$D$397,$C163),SUMIFS('Inhalation Exposure_Short-Term'!$G$7:$G$397,'Inhalation Exposure_Short-Term'!$B$7:$B$397,$B163,'Inhalation Exposure_Short-Term'!$D$7:$D$397,$C163)),IF($J163="Central Tendency",VLOOKUP($B163,'Dermal Exposure'!$A$6:$L$19,9,FALSE),VLOOKUP($B163,'Dermal Exposure'!$A$6:$L$19,4,FALSE))),"--")</f>
        <v>--</v>
      </c>
      <c r="L163" s="88">
        <f>IFERROR(VLOOKUP($D163,$Y$9:$AB$10,2,FALSE)/IF($D163="Inhalation",IF($J163="Central Tendency",SUMIFS('Inhalation Exposure_8-hr'!$H$6:$H$411,'Inhalation Exposure_8-hr'!$B$6:$B$411,$B163,'Inhalation Exposure_8-hr'!$D$6:$D$411,$C163),SUMIFS('Inhalation Exposure_8-hr'!$I$6:$I$411,'Inhalation Exposure_8-hr'!$B$6:$B$411,$B163,'Inhalation Exposure_8-hr'!$D$6:$D$411,$C163)),IF($J163="Central Tendency",VLOOKUP($B163,'Dermal Exposure'!$A$6:$L$19,9,FALSE),VLOOKUP($B163,'Dermal Exposure'!$A$6:$L$19,4,FALSE))),"--")</f>
        <v>907.7783994491549</v>
      </c>
      <c r="M163" s="88">
        <f>IFERROR(VLOOKUP($D163,$Y$9:$AB$10,3,FALSE)/IF($D163="Inhalation",IF($J163="Central Tendency",SUMIFS('Inhalation Exposure_8-hr'!$L$6:$L$411,'Inhalation Exposure_8-hr'!$B$6:$B$411,$B163,'Inhalation Exposure_8-hr'!$D$6:$D$411,$C163),SUMIFS('Inhalation Exposure_8-hr'!$M$6:$M$411,'Inhalation Exposure_8-hr'!$B$6:$B$411,$B163,'Inhalation Exposure_8-hr'!$D$6:$D$411,$C163)),IF($J163="Central Tendency",VLOOKUP($B163,'Dermal Exposure'!$A$6:$L$19,10,FALSE),VLOOKUP($B163,'Dermal Exposure'!$A$6:$L$19,5,FALSE))),"--")</f>
        <v>26.840325199167683</v>
      </c>
      <c r="N163" s="89">
        <f>IFERROR(VLOOKUP($D163,$Y$9:$AB$10,4,FALSE)/IF($D163="Inhalation",IF($J163="Central Tendency",SUMIFS('Inhalation Exposure_8-hr'!$N$6:$N$411,'Inhalation Exposure_8-hr'!$B$6:$B$411,$B163,'Inhalation Exposure_8-hr'!$D$6:$D$411,$C163),SUMIFS('Inhalation Exposure_8-hr'!$O$6:$O$411,'Inhalation Exposure_8-hr'!$B$6:$B$411,$B163,'Inhalation Exposure_8-hr'!$D$6:$D$411,$C163)),IF($J163="Central Tendency",VLOOKUP($B163,'Dermal Exposure'!$A$6:$L$19,11,FALSE),VLOOKUP($B163,'Dermal Exposure'!$A$6:$L$19,6,FALSE))),"--")</f>
        <v>28.7370415132422</v>
      </c>
      <c r="O163" s="91" t="str">
        <f>IFERROR(K163*T163, "--")</f>
        <v>--</v>
      </c>
      <c r="P163" s="91">
        <f>IFERROR(L163*U163, "--")</f>
        <v>9077.7839944915486</v>
      </c>
      <c r="Q163" s="91">
        <f>IFERROR(M163*V163, "--")</f>
        <v>268.40325199167683</v>
      </c>
      <c r="R163" s="91">
        <f>IFERROR(N163*W163, "--")</f>
        <v>1436.8520756621101</v>
      </c>
      <c r="T163" s="109">
        <v>10</v>
      </c>
      <c r="U163" s="110">
        <v>10</v>
      </c>
      <c r="V163" s="110">
        <v>10</v>
      </c>
      <c r="W163" s="111">
        <v>50</v>
      </c>
    </row>
    <row r="164" spans="2:23" ht="15" thickBot="1" x14ac:dyDescent="0.4">
      <c r="B164" s="82" t="s">
        <v>493</v>
      </c>
      <c r="C164" s="83" t="s">
        <v>68</v>
      </c>
      <c r="D164" s="83" t="s">
        <v>107</v>
      </c>
      <c r="E164" s="98"/>
      <c r="F164" s="98"/>
      <c r="G164" s="112"/>
      <c r="H164" s="101"/>
      <c r="I164" s="113"/>
      <c r="J164" s="113"/>
      <c r="K164" s="103"/>
      <c r="L164" s="103"/>
      <c r="M164" s="103"/>
      <c r="N164" s="104"/>
      <c r="O164" s="105" t="str">
        <f>CONCATENATE("(APF ",T163,")")</f>
        <v>(APF 10)</v>
      </c>
      <c r="P164" s="105" t="str">
        <f>CONCATENATE("(APF ",U163,")")</f>
        <v>(APF 10)</v>
      </c>
      <c r="Q164" s="105" t="str">
        <f>CONCATENATE("(APF ",V163,")")</f>
        <v>(APF 10)</v>
      </c>
      <c r="R164" s="105" t="str">
        <f>CONCATENATE("(APF ",W163,")")</f>
        <v>(APF 50)</v>
      </c>
      <c r="T164" s="114" t="s">
        <v>111</v>
      </c>
      <c r="U164" s="115" t="s">
        <v>111</v>
      </c>
      <c r="V164" s="115" t="s">
        <v>111</v>
      </c>
      <c r="W164" s="116" t="s">
        <v>111</v>
      </c>
    </row>
    <row r="165" spans="2:23" ht="15" thickBot="1" x14ac:dyDescent="0.4">
      <c r="B165" s="82" t="s">
        <v>494</v>
      </c>
      <c r="C165" s="83" t="s">
        <v>68</v>
      </c>
      <c r="D165" s="83" t="s">
        <v>107</v>
      </c>
      <c r="E165" s="98"/>
      <c r="F165" s="98"/>
      <c r="G165" s="85" t="s">
        <v>501</v>
      </c>
      <c r="H165" s="101"/>
      <c r="I165" s="86" t="s">
        <v>110</v>
      </c>
      <c r="J165" s="86" t="s">
        <v>71</v>
      </c>
      <c r="K165" s="88" t="str">
        <f>IFERROR(VLOOKUP($D165,$Y$9:$AB$10,2,FALSE)/IF($D165="Inhalation",IF($J165="Central Tendency",SUMIFS('Inhalation Exposure_Short-Term'!$F$7:$F$397,'Inhalation Exposure_Short-Term'!$B$7:$B$397,$B165,'Inhalation Exposure_Short-Term'!$D$7:$D$397,$C165),SUMIFS('Inhalation Exposure_Short-Term'!$G$7:$G$397,'Inhalation Exposure_Short-Term'!$B$7:$B$397,$B165,'Inhalation Exposure_Short-Term'!$D$7:$D$397,$C165)),IF($J165="Central Tendency",VLOOKUP($B165,'Dermal Exposure'!$A$6:$L$19,9,FALSE),VLOOKUP($B165,'Dermal Exposure'!$A$6:$L$19,4,FALSE))),"--")</f>
        <v>--</v>
      </c>
      <c r="L165" s="88">
        <f>IFERROR(VLOOKUP($D165,$Y$9:$AB$10,2,FALSE)/IF($D165="Inhalation",IF($J165="Central Tendency",SUMIFS('Inhalation Exposure_8-hr'!$H$6:$H$411,'Inhalation Exposure_8-hr'!$B$6:$B$411,$B165,'Inhalation Exposure_8-hr'!$D$6:$D$411,$C165),SUMIFS('Inhalation Exposure_8-hr'!$I$6:$I$411,'Inhalation Exposure_8-hr'!$B$6:$B$411,$B165,'Inhalation Exposure_8-hr'!$D$6:$D$411,$C165)),IF($J165="Central Tendency",VLOOKUP($B165,'Dermal Exposure'!$A$6:$L$19,9,FALSE),VLOOKUP($B165,'Dermal Exposure'!$A$6:$L$19,4,FALSE))),"--")</f>
        <v>176.21449670529424</v>
      </c>
      <c r="M165" s="88">
        <f>IFERROR(VLOOKUP($D165,$Y$9:$AB$10,3,FALSE)/IF($D165="Inhalation",IF($J165="Central Tendency",SUMIFS('Inhalation Exposure_8-hr'!$L$6:$L$411,'Inhalation Exposure_8-hr'!$B$6:$B$411,$B165,'Inhalation Exposure_8-hr'!$D$6:$D$411,$C165),SUMIFS('Inhalation Exposure_8-hr'!$M$6:$M$411,'Inhalation Exposure_8-hr'!$B$6:$B$411,$B165,'Inhalation Exposure_8-hr'!$D$6:$D$411,$C165)),IF($J165="Central Tendency",VLOOKUP($B165,'Dermal Exposure'!$A$6:$L$19,10,FALSE),VLOOKUP($B165,'Dermal Exposure'!$A$6:$L$19,5,FALSE))),"--")</f>
        <v>5.2101420338352842</v>
      </c>
      <c r="N165" s="89">
        <f>IFERROR(VLOOKUP($D165,$Y$9:$AB$10,4,FALSE)/IF($D165="Inhalation",IF($J165="Central Tendency",SUMIFS('Inhalation Exposure_8-hr'!$N$6:$N$411,'Inhalation Exposure_8-hr'!$B$6:$B$411,$B165,'Inhalation Exposure_8-hr'!$D$6:$D$411,$C165),SUMIFS('Inhalation Exposure_8-hr'!$O$6:$O$411,'Inhalation Exposure_8-hr'!$B$6:$B$411,$B165,'Inhalation Exposure_8-hr'!$D$6:$D$411,$C165)),IF($J165="Central Tendency",VLOOKUP($B165,'Dermal Exposure'!$A$6:$L$19,11,FALSE),VLOOKUP($B165,'Dermal Exposure'!$A$6:$L$19,6,FALSE))),"--")</f>
        <v>5.5783254042263124</v>
      </c>
      <c r="O165" s="91" t="str">
        <f>IFERROR(K165*T165, "--")</f>
        <v>--</v>
      </c>
      <c r="P165" s="91">
        <f>IFERROR(L165*U165, "--")</f>
        <v>1762.1449670529423</v>
      </c>
      <c r="Q165" s="91">
        <f>IFERROR(M165*V165, "--")</f>
        <v>52.101420338352838</v>
      </c>
      <c r="R165" s="91">
        <f>IFERROR(N165*W165, "--")</f>
        <v>55.783254042263124</v>
      </c>
      <c r="T165" s="92">
        <v>10</v>
      </c>
      <c r="U165" s="93">
        <v>10</v>
      </c>
      <c r="V165" s="93">
        <v>10</v>
      </c>
      <c r="W165" s="94">
        <v>10</v>
      </c>
    </row>
    <row r="166" spans="2:23" ht="15" thickBot="1" x14ac:dyDescent="0.4">
      <c r="B166" s="82" t="s">
        <v>494</v>
      </c>
      <c r="C166" s="83" t="s">
        <v>68</v>
      </c>
      <c r="D166" s="83" t="s">
        <v>107</v>
      </c>
      <c r="E166" s="98"/>
      <c r="F166" s="98"/>
      <c r="G166" s="99"/>
      <c r="H166" s="101"/>
      <c r="I166" s="101"/>
      <c r="J166" s="113"/>
      <c r="K166" s="103"/>
      <c r="L166" s="103"/>
      <c r="M166" s="103"/>
      <c r="N166" s="104"/>
      <c r="O166" s="105" t="str">
        <f>CONCATENATE("(APF ",T165,")")</f>
        <v>(APF 10)</v>
      </c>
      <c r="P166" s="105" t="str">
        <f>CONCATENATE("(APF ",U165,")")</f>
        <v>(APF 10)</v>
      </c>
      <c r="Q166" s="105" t="str">
        <f>CONCATENATE("(APF ",V165,")")</f>
        <v>(APF 10)</v>
      </c>
      <c r="R166" s="105" t="str">
        <f>CONCATENATE("(APF ",W165,")")</f>
        <v>(APF 10)</v>
      </c>
      <c r="T166" s="106" t="s">
        <v>111</v>
      </c>
      <c r="U166" s="107" t="s">
        <v>111</v>
      </c>
      <c r="V166" s="107" t="s">
        <v>111</v>
      </c>
      <c r="W166" s="108" t="s">
        <v>111</v>
      </c>
    </row>
    <row r="167" spans="2:23" ht="15" thickBot="1" x14ac:dyDescent="0.4">
      <c r="B167" s="82" t="s">
        <v>494</v>
      </c>
      <c r="C167" s="83" t="s">
        <v>68</v>
      </c>
      <c r="D167" s="83" t="s">
        <v>107</v>
      </c>
      <c r="E167" s="98"/>
      <c r="F167" s="98"/>
      <c r="G167" s="99"/>
      <c r="H167" s="101"/>
      <c r="I167" s="101"/>
      <c r="J167" s="86" t="s">
        <v>112</v>
      </c>
      <c r="K167" s="88" t="str">
        <f>IFERROR(VLOOKUP($D167,$Y$9:$AB$10,2,FALSE)/IF($D167="Inhalation",IF($J167="Central Tendency",SUMIFS('Inhalation Exposure_Short-Term'!$F$7:$F$397,'Inhalation Exposure_Short-Term'!$B$7:$B$397,$B167,'Inhalation Exposure_Short-Term'!$D$7:$D$397,$C167),SUMIFS('Inhalation Exposure_Short-Term'!$G$7:$G$397,'Inhalation Exposure_Short-Term'!$B$7:$B$397,$B167,'Inhalation Exposure_Short-Term'!$D$7:$D$397,$C167)),IF($J167="Central Tendency",VLOOKUP($B167,'Dermal Exposure'!$A$6:$L$19,9,FALSE),VLOOKUP($B167,'Dermal Exposure'!$A$6:$L$19,4,FALSE))),"--")</f>
        <v>--</v>
      </c>
      <c r="L167" s="88">
        <f>IFERROR(VLOOKUP($D167,$Y$9:$AB$10,2,FALSE)/IF($D167="Inhalation",IF($J167="Central Tendency",SUMIFS('Inhalation Exposure_8-hr'!$H$6:$H$411,'Inhalation Exposure_8-hr'!$B$6:$B$411,$B167,'Inhalation Exposure_8-hr'!$D$6:$D$411,$C167),SUMIFS('Inhalation Exposure_8-hr'!$I$6:$I$411,'Inhalation Exposure_8-hr'!$B$6:$B$411,$B167,'Inhalation Exposure_8-hr'!$D$6:$D$411,$C167)),IF($J167="Central Tendency",VLOOKUP($B167,'Dermal Exposure'!$A$6:$L$19,9,FALSE),VLOOKUP($B167,'Dermal Exposure'!$A$6:$L$19,4,FALSE))),"--")</f>
        <v>108.77438068228039</v>
      </c>
      <c r="M167" s="88">
        <f>IFERROR(VLOOKUP($D167,$Y$9:$AB$10,3,FALSE)/IF($D167="Inhalation",IF($J167="Central Tendency",SUMIFS('Inhalation Exposure_8-hr'!$L$6:$L$411,'Inhalation Exposure_8-hr'!$B$6:$B$411,$B167,'Inhalation Exposure_8-hr'!$D$6:$D$411,$C167),SUMIFS('Inhalation Exposure_8-hr'!$M$6:$M$411,'Inhalation Exposure_8-hr'!$B$6:$B$411,$B167,'Inhalation Exposure_8-hr'!$D$6:$D$411,$C167)),IF($J167="Central Tendency",VLOOKUP($B167,'Dermal Exposure'!$A$6:$L$19,10,FALSE),VLOOKUP($B167,'Dermal Exposure'!$A$6:$L$19,5,FALSE))),"--")</f>
        <v>3.2161370579230151</v>
      </c>
      <c r="N167" s="89">
        <f>IFERROR(VLOOKUP($D167,$Y$9:$AB$10,4,FALSE)/IF($D167="Inhalation",IF($J167="Central Tendency",SUMIFS('Inhalation Exposure_8-hr'!$N$6:$N$411,'Inhalation Exposure_8-hr'!$B$6:$B$411,$B167,'Inhalation Exposure_8-hr'!$D$6:$D$411,$C167),SUMIFS('Inhalation Exposure_8-hr'!$O$6:$O$411,'Inhalation Exposure_8-hr'!$B$6:$B$411,$B167,'Inhalation Exposure_8-hr'!$D$6:$D$411,$C167)),IF($J167="Central Tendency",VLOOKUP($B167,'Dermal Exposure'!$A$6:$L$19,11,FALSE),VLOOKUP($B167,'Dermal Exposure'!$A$6:$L$19,6,FALSE))),"--")</f>
        <v>3.4434107433495758</v>
      </c>
      <c r="O167" s="91" t="str">
        <f>IFERROR(K167*T167, "--")</f>
        <v>--</v>
      </c>
      <c r="P167" s="91">
        <f>IFERROR(L167*U167, "--")</f>
        <v>1087.7438068228039</v>
      </c>
      <c r="Q167" s="91">
        <f>IFERROR(M167*V167, "--")</f>
        <v>32.161370579230152</v>
      </c>
      <c r="R167" s="91">
        <f>IFERROR(N167*W167, "--")</f>
        <v>172.17053716747878</v>
      </c>
      <c r="T167" s="109">
        <v>10</v>
      </c>
      <c r="U167" s="110">
        <v>10</v>
      </c>
      <c r="V167" s="110">
        <v>10</v>
      </c>
      <c r="W167" s="111">
        <v>50</v>
      </c>
    </row>
    <row r="168" spans="2:23" ht="15" thickBot="1" x14ac:dyDescent="0.4">
      <c r="B168" s="82" t="s">
        <v>494</v>
      </c>
      <c r="C168" s="83" t="s">
        <v>68</v>
      </c>
      <c r="D168" s="83" t="s">
        <v>107</v>
      </c>
      <c r="E168" s="98"/>
      <c r="F168" s="98"/>
      <c r="G168" s="112"/>
      <c r="H168" s="113"/>
      <c r="I168" s="113"/>
      <c r="J168" s="113"/>
      <c r="K168" s="103"/>
      <c r="L168" s="103"/>
      <c r="M168" s="103"/>
      <c r="N168" s="104"/>
      <c r="O168" s="105" t="str">
        <f>CONCATENATE("(APF ",T167,")")</f>
        <v>(APF 10)</v>
      </c>
      <c r="P168" s="105" t="str">
        <f>CONCATENATE("(APF ",U167,")")</f>
        <v>(APF 10)</v>
      </c>
      <c r="Q168" s="105" t="str">
        <f>CONCATENATE("(APF ",V167,")")</f>
        <v>(APF 10)</v>
      </c>
      <c r="R168" s="105" t="str">
        <f>CONCATENATE("(APF ",W167,")")</f>
        <v>(APF 50)</v>
      </c>
      <c r="T168" s="114" t="s">
        <v>111</v>
      </c>
      <c r="U168" s="115" t="s">
        <v>111</v>
      </c>
      <c r="V168" s="115" t="s">
        <v>111</v>
      </c>
      <c r="W168" s="116" t="s">
        <v>111</v>
      </c>
    </row>
    <row r="169" spans="2:23" ht="15.75" customHeight="1" thickBot="1" x14ac:dyDescent="0.4">
      <c r="B169" s="82" t="s">
        <v>542</v>
      </c>
      <c r="C169" s="83" t="s">
        <v>80</v>
      </c>
      <c r="D169" s="83" t="s">
        <v>107</v>
      </c>
      <c r="E169" s="98"/>
      <c r="F169" s="98"/>
      <c r="G169" s="85" t="s">
        <v>543</v>
      </c>
      <c r="H169" s="86" t="s">
        <v>80</v>
      </c>
      <c r="I169" s="86" t="s">
        <v>110</v>
      </c>
      <c r="J169" s="86" t="s">
        <v>71</v>
      </c>
      <c r="K169" s="88" t="str">
        <f>IFERROR(VLOOKUP($D169,$Y$9:$AB$10,2,FALSE)/IF($D169="Inhalation",IF($J169="Central Tendency",SUMIFS('Inhalation Exposure_Short-Term'!$F$7:$F$397,'Inhalation Exposure_Short-Term'!$B$7:$B$397,$B169,'Inhalation Exposure_Short-Term'!$D$7:$D$397,$C169),SUMIFS('Inhalation Exposure_Short-Term'!$G$7:$G$397,'Inhalation Exposure_Short-Term'!$B$7:$B$397,$B169,'Inhalation Exposure_Short-Term'!$D$7:$D$397,$C169)),IF($J169="Central Tendency",VLOOKUP($B169,'Dermal Exposure'!$A$6:$L$19,9,FALSE),VLOOKUP($B169,'Dermal Exposure'!$A$6:$L$19,4,FALSE))),"--")</f>
        <v>--</v>
      </c>
      <c r="L169" s="88">
        <f>IFERROR(VLOOKUP($D169,$Y$9:$AB$10,2,FALSE)/IF($D169="Inhalation",IF($J169="Central Tendency",SUMIFS('Inhalation Exposure_8-hr'!$H$6:$H$411,'Inhalation Exposure_8-hr'!$B$6:$B$411,$B169,'Inhalation Exposure_8-hr'!$D$6:$D$411,$C169),SUMIFS('Inhalation Exposure_8-hr'!$I$6:$I$411,'Inhalation Exposure_8-hr'!$B$6:$B$411,$B169,'Inhalation Exposure_8-hr'!$D$6:$D$411,$C169)),IF($J169="Central Tendency",VLOOKUP($B169,'Dermal Exposure'!$A$6:$L$19,9,FALSE),VLOOKUP($B169,'Dermal Exposure'!$A$6:$L$19,4,FALSE))),"--")</f>
        <v>2715.6343670336437</v>
      </c>
      <c r="M169" s="88">
        <f>IFERROR(VLOOKUP($D169,$Y$9:$AB$10,3,FALSE)/IF($D169="Inhalation",IF($J169="Central Tendency",SUMIFS('Inhalation Exposure_8-hr'!$L$6:$L$411,'Inhalation Exposure_8-hr'!$B$6:$B$411,$B169,'Inhalation Exposure_8-hr'!$D$6:$D$411,$C169),SUMIFS('Inhalation Exposure_8-hr'!$M$6:$M$411,'Inhalation Exposure_8-hr'!$B$6:$B$411,$B169,'Inhalation Exposure_8-hr'!$D$6:$D$411,$C169)),IF($J169="Central Tendency",VLOOKUP($B169,'Dermal Exposure'!$A$6:$L$19,10,FALSE),VLOOKUP($B169,'Dermal Exposure'!$A$6:$L$19,5,FALSE))),"--")</f>
        <v>80.293284768009528</v>
      </c>
      <c r="N169" s="89">
        <f>IFERROR(VLOOKUP($D169,$Y$9:$AB$10,4,FALSE)/IF($D169="Inhalation",IF($J169="Central Tendency",SUMIFS('Inhalation Exposure_8-hr'!$N$6:$N$411,'Inhalation Exposure_8-hr'!$B$6:$B$411,$B169,'Inhalation Exposure_8-hr'!$D$6:$D$411,$C169),SUMIFS('Inhalation Exposure_8-hr'!$O$6:$O$411,'Inhalation Exposure_8-hr'!$B$6:$B$411,$B169,'Inhalation Exposure_8-hr'!$D$6:$D$411,$C169)),IF($J169="Central Tendency",VLOOKUP($B169,'Dermal Exposure'!$A$6:$L$19,11,FALSE),VLOOKUP($B169,'Dermal Exposure'!$A$6:$L$19,6,FALSE))),"--")</f>
        <v>85.967343558282181</v>
      </c>
      <c r="O169" s="91" t="str">
        <f>IFERROR(K169*T169, "--")</f>
        <v>--</v>
      </c>
      <c r="P169" s="91">
        <f>IFERROR(L169*U169, "--")</f>
        <v>27156.343670336435</v>
      </c>
      <c r="Q169" s="91">
        <f>IFERROR(M169*V169, "--")</f>
        <v>802.93284768009528</v>
      </c>
      <c r="R169" s="91">
        <f>IFERROR(N169*W169, "--")</f>
        <v>859.67343558282187</v>
      </c>
      <c r="T169" s="92">
        <v>10</v>
      </c>
      <c r="U169" s="93">
        <v>10</v>
      </c>
      <c r="V169" s="93">
        <v>10</v>
      </c>
      <c r="W169" s="94">
        <v>10</v>
      </c>
    </row>
    <row r="170" spans="2:23" ht="15" thickBot="1" x14ac:dyDescent="0.4">
      <c r="B170" s="82" t="s">
        <v>542</v>
      </c>
      <c r="C170" s="83" t="s">
        <v>80</v>
      </c>
      <c r="D170" s="83" t="s">
        <v>107</v>
      </c>
      <c r="E170" s="98"/>
      <c r="F170" s="98"/>
      <c r="G170" s="99"/>
      <c r="H170" s="100"/>
      <c r="I170" s="101"/>
      <c r="J170" s="113"/>
      <c r="K170" s="103"/>
      <c r="L170" s="103"/>
      <c r="M170" s="103"/>
      <c r="N170" s="104"/>
      <c r="O170" s="105" t="str">
        <f>CONCATENATE("(APF ",T169,")")</f>
        <v>(APF 10)</v>
      </c>
      <c r="P170" s="105" t="str">
        <f>CONCATENATE("(APF ",U169,")")</f>
        <v>(APF 10)</v>
      </c>
      <c r="Q170" s="105" t="str">
        <f>CONCATENATE("(APF ",V169,")")</f>
        <v>(APF 10)</v>
      </c>
      <c r="R170" s="105" t="str">
        <f>CONCATENATE("(APF ",W169,")")</f>
        <v>(APF 10)</v>
      </c>
      <c r="T170" s="106" t="s">
        <v>111</v>
      </c>
      <c r="U170" s="107" t="s">
        <v>111</v>
      </c>
      <c r="V170" s="107" t="s">
        <v>111</v>
      </c>
      <c r="W170" s="108" t="s">
        <v>111</v>
      </c>
    </row>
    <row r="171" spans="2:23" ht="15" thickBot="1" x14ac:dyDescent="0.4">
      <c r="B171" s="82" t="s">
        <v>542</v>
      </c>
      <c r="C171" s="83" t="s">
        <v>80</v>
      </c>
      <c r="D171" s="83" t="s">
        <v>107</v>
      </c>
      <c r="E171" s="98"/>
      <c r="F171" s="98"/>
      <c r="G171" s="99"/>
      <c r="H171" s="100"/>
      <c r="I171" s="101"/>
      <c r="J171" s="86" t="s">
        <v>112</v>
      </c>
      <c r="K171" s="88" t="str">
        <f>IFERROR(VLOOKUP($D171,$Y$9:$AB$10,2,FALSE)/IF($D171="Inhalation",IF($J171="Central Tendency",SUMIFS('Inhalation Exposure_Short-Term'!$F$7:$F$397,'Inhalation Exposure_Short-Term'!$B$7:$B$397,$B171,'Inhalation Exposure_Short-Term'!$D$7:$D$397,$C171),SUMIFS('Inhalation Exposure_Short-Term'!$G$7:$G$397,'Inhalation Exposure_Short-Term'!$B$7:$B$397,$B171,'Inhalation Exposure_Short-Term'!$D$7:$D$397,$C171)),IF($J171="Central Tendency",VLOOKUP($B171,'Dermal Exposure'!$A$6:$L$19,9,FALSE),VLOOKUP($B171,'Dermal Exposure'!$A$6:$L$19,4,FALSE))),"--")</f>
        <v>--</v>
      </c>
      <c r="L171" s="88">
        <f>IFERROR(VLOOKUP($D171,$Y$9:$AB$10,2,FALSE)/IF($D171="Inhalation",IF($J171="Central Tendency",SUMIFS('Inhalation Exposure_8-hr'!$H$6:$H$411,'Inhalation Exposure_8-hr'!$B$6:$B$411,$B171,'Inhalation Exposure_8-hr'!$D$6:$D$411,$C171),SUMIFS('Inhalation Exposure_8-hr'!$I$6:$I$411,'Inhalation Exposure_8-hr'!$B$6:$B$411,$B171,'Inhalation Exposure_8-hr'!$D$6:$D$411,$C171)),IF($J171="Central Tendency",VLOOKUP($B171,'Dermal Exposure'!$A$6:$L$19,9,FALSE),VLOOKUP($B171,'Dermal Exposure'!$A$6:$L$19,4,FALSE))),"--")</f>
        <v>1379.0699742153465</v>
      </c>
      <c r="M171" s="88">
        <f>IFERROR(VLOOKUP($D171,$Y$9:$AB$10,3,FALSE)/IF($D171="Inhalation",IF($J171="Central Tendency",SUMIFS('Inhalation Exposure_8-hr'!$L$6:$L$411,'Inhalation Exposure_8-hr'!$B$6:$B$411,$B171,'Inhalation Exposure_8-hr'!$D$6:$D$411,$C171),SUMIFS('Inhalation Exposure_8-hr'!$M$6:$M$411,'Inhalation Exposure_8-hr'!$B$6:$B$411,$B171,'Inhalation Exposure_8-hr'!$D$6:$D$411,$C171)),IF($J171="Central Tendency",VLOOKUP($B171,'Dermal Exposure'!$A$6:$L$19,10,FALSE),VLOOKUP($B171,'Dermal Exposure'!$A$6:$L$19,5,FALSE))),"--")</f>
        <v>40.77502461262398</v>
      </c>
      <c r="N171" s="89">
        <f>IFERROR(VLOOKUP($D171,$Y$9:$AB$10,4,FALSE)/IF($D171="Inhalation",IF($J171="Central Tendency",SUMIFS('Inhalation Exposure_8-hr'!$N$6:$N$411,'Inhalation Exposure_8-hr'!$B$6:$B$411,$B171,'Inhalation Exposure_8-hr'!$D$6:$D$411,$C171),SUMIFS('Inhalation Exposure_8-hr'!$O$6:$O$411,'Inhalation Exposure_8-hr'!$B$6:$B$411,$B171,'Inhalation Exposure_8-hr'!$D$6:$D$411,$C171)),IF($J171="Central Tendency",VLOOKUP($B171,'Dermal Exposure'!$A$6:$L$19,11,FALSE),VLOOKUP($B171,'Dermal Exposure'!$A$6:$L$19,6,FALSE))),"--")</f>
        <v>43.656459685249395</v>
      </c>
      <c r="O171" s="91" t="str">
        <f>IFERROR(K171*T171, "--")</f>
        <v>--</v>
      </c>
      <c r="P171" s="91">
        <f>IFERROR(L171*U171, "--")</f>
        <v>13790.699742153465</v>
      </c>
      <c r="Q171" s="91">
        <f>IFERROR(M171*V171, "--")</f>
        <v>407.7502461262398</v>
      </c>
      <c r="R171" s="91">
        <f>IFERROR(N171*W171, "--")</f>
        <v>2182.8229842624696</v>
      </c>
      <c r="T171" s="109">
        <v>10</v>
      </c>
      <c r="U171" s="110">
        <v>10</v>
      </c>
      <c r="V171" s="110">
        <v>10</v>
      </c>
      <c r="W171" s="111">
        <v>50</v>
      </c>
    </row>
    <row r="172" spans="2:23" ht="15" thickBot="1" x14ac:dyDescent="0.4">
      <c r="B172" s="82" t="s">
        <v>542</v>
      </c>
      <c r="C172" s="83" t="s">
        <v>80</v>
      </c>
      <c r="D172" s="83" t="s">
        <v>107</v>
      </c>
      <c r="E172" s="98"/>
      <c r="F172" s="98"/>
      <c r="G172" s="112"/>
      <c r="H172" s="118"/>
      <c r="I172" s="113"/>
      <c r="J172" s="113"/>
      <c r="K172" s="103"/>
      <c r="L172" s="103"/>
      <c r="M172" s="103"/>
      <c r="N172" s="104"/>
      <c r="O172" s="105" t="str">
        <f>CONCATENATE("(APF ",T171,")")</f>
        <v>(APF 10)</v>
      </c>
      <c r="P172" s="105" t="str">
        <f>CONCATENATE("(APF ",U171,")")</f>
        <v>(APF 10)</v>
      </c>
      <c r="Q172" s="105" t="str">
        <f>CONCATENATE("(APF ",V171,")")</f>
        <v>(APF 10)</v>
      </c>
      <c r="R172" s="105" t="str">
        <f>CONCATENATE("(APF ",W171,")")</f>
        <v>(APF 50)</v>
      </c>
      <c r="T172" s="114" t="s">
        <v>111</v>
      </c>
      <c r="U172" s="115" t="s">
        <v>111</v>
      </c>
      <c r="V172" s="115" t="s">
        <v>111</v>
      </c>
      <c r="W172" s="116" t="s">
        <v>111</v>
      </c>
    </row>
    <row r="173" spans="2:23" ht="15" thickBot="1" x14ac:dyDescent="0.4">
      <c r="B173" s="82">
        <v>6.3</v>
      </c>
      <c r="C173" s="83" t="s">
        <v>68</v>
      </c>
      <c r="D173" s="83" t="s">
        <v>107</v>
      </c>
      <c r="E173" s="98"/>
      <c r="F173" s="98"/>
      <c r="G173" s="85" t="s">
        <v>536</v>
      </c>
      <c r="H173" s="86" t="s">
        <v>68</v>
      </c>
      <c r="I173" s="86" t="s">
        <v>110</v>
      </c>
      <c r="J173" s="86" t="s">
        <v>71</v>
      </c>
      <c r="K173" s="88">
        <f>IFERROR(VLOOKUP($D173,$Y$9:$AB$10,2,FALSE)/IF($D173="Inhalation",IF($J173="Central Tendency",SUMIFS('Inhalation Exposure_Short-Term'!$F$7:$F$397,'Inhalation Exposure_Short-Term'!$B$7:$B$397,$B173,'Inhalation Exposure_Short-Term'!$D$7:$D$397,$C173),SUMIFS('Inhalation Exposure_Short-Term'!$G$7:$G$397,'Inhalation Exposure_Short-Term'!$B$7:$B$397,$B173,'Inhalation Exposure_Short-Term'!$D$7:$D$397,$C173)),IF($J173="Central Tendency",VLOOKUP($B173,'Dermal Exposure'!$A$6:$L$19,9,FALSE),VLOOKUP($B173,'Dermal Exposure'!$A$6:$L$19,4,FALSE))),"--")</f>
        <v>117.64705882352941</v>
      </c>
      <c r="L173" s="88" t="str">
        <f>IFERROR(VLOOKUP($D173,$Y$9:$AB$10,2,FALSE)/IF($D173="Inhalation",IF($J173="Central Tendency",SUMIFS('Inhalation Exposure_8-hr'!$H$6:$H$411,'Inhalation Exposure_8-hr'!$B$6:$B$411,$B173,'Inhalation Exposure_8-hr'!$D$6:$D$411,$C173),SUMIFS('Inhalation Exposure_8-hr'!$I$6:$I$411,'Inhalation Exposure_8-hr'!$B$6:$B$411,$B173,'Inhalation Exposure_8-hr'!$D$6:$D$411,$C173)),IF($J173="Central Tendency",VLOOKUP($B173,'Dermal Exposure'!$A$6:$L$19,9,FALSE),VLOOKUP($B173,'Dermal Exposure'!$A$6:$L$19,4,FALSE))),"--")</f>
        <v>--</v>
      </c>
      <c r="M173" s="88" t="str">
        <f>IFERROR(VLOOKUP($D173,$Y$9:$AB$10,3,FALSE)/IF($D173="Inhalation",IF($J173="Central Tendency",SUMIFS('Inhalation Exposure_8-hr'!$L$6:$L$411,'Inhalation Exposure_8-hr'!$B$6:$B$411,$B173,'Inhalation Exposure_8-hr'!$D$6:$D$411,$C173),SUMIFS('Inhalation Exposure_8-hr'!$M$6:$M$411,'Inhalation Exposure_8-hr'!$B$6:$B$411,$B173,'Inhalation Exposure_8-hr'!$D$6:$D$411,$C173)),IF($J173="Central Tendency",VLOOKUP($B173,'Dermal Exposure'!$A$6:$L$19,10,FALSE),VLOOKUP($B173,'Dermal Exposure'!$A$6:$L$19,5,FALSE))),"--")</f>
        <v>--</v>
      </c>
      <c r="N173" s="89" t="str">
        <f>IFERROR(VLOOKUP($D173,$Y$9:$AB$10,4,FALSE)/IF($D173="Inhalation",IF($J173="Central Tendency",SUMIFS('Inhalation Exposure_8-hr'!$N$6:$N$411,'Inhalation Exposure_8-hr'!$B$6:$B$411,$B173,'Inhalation Exposure_8-hr'!$D$6:$D$411,$C173),SUMIFS('Inhalation Exposure_8-hr'!$O$6:$O$411,'Inhalation Exposure_8-hr'!$B$6:$B$411,$B173,'Inhalation Exposure_8-hr'!$D$6:$D$411,$C173)),IF($J173="Central Tendency",VLOOKUP($B173,'Dermal Exposure'!$A$6:$L$19,11,FALSE),VLOOKUP($B173,'Dermal Exposure'!$A$6:$L$19,6,FALSE))),"--")</f>
        <v>--</v>
      </c>
      <c r="O173" s="91">
        <f>IFERROR(K173*T173, "--")</f>
        <v>588.23529411764707</v>
      </c>
      <c r="P173" s="91" t="str">
        <f>IFERROR(L173*U173, "--")</f>
        <v>--</v>
      </c>
      <c r="Q173" s="91" t="str">
        <f>IFERROR(M173*V173, "--")</f>
        <v>--</v>
      </c>
      <c r="R173" s="91" t="str">
        <f>IFERROR(N173*W173, "--")</f>
        <v>--</v>
      </c>
      <c r="T173" s="92">
        <v>5</v>
      </c>
      <c r="U173" s="93">
        <v>5</v>
      </c>
      <c r="V173" s="93">
        <v>5</v>
      </c>
      <c r="W173" s="94">
        <v>5</v>
      </c>
    </row>
    <row r="174" spans="2:23" ht="15" thickBot="1" x14ac:dyDescent="0.4">
      <c r="B174" s="82">
        <v>6.3</v>
      </c>
      <c r="C174" s="83" t="s">
        <v>68</v>
      </c>
      <c r="D174" s="83" t="s">
        <v>107</v>
      </c>
      <c r="E174" s="98"/>
      <c r="F174" s="98"/>
      <c r="G174" s="99"/>
      <c r="H174" s="101"/>
      <c r="I174" s="101"/>
      <c r="J174" s="113"/>
      <c r="K174" s="103"/>
      <c r="L174" s="103"/>
      <c r="M174" s="103"/>
      <c r="N174" s="104"/>
      <c r="O174" s="105" t="str">
        <f>CONCATENATE("(APF ",T173,")")</f>
        <v>(APF 5)</v>
      </c>
      <c r="P174" s="105" t="str">
        <f>CONCATENATE("(APF ",U173,")")</f>
        <v>(APF 5)</v>
      </c>
      <c r="Q174" s="105" t="str">
        <f>CONCATENATE("(APF ",V173,")")</f>
        <v>(APF 5)</v>
      </c>
      <c r="R174" s="105" t="str">
        <f>CONCATENATE("(APF ",W173,")")</f>
        <v>(APF 5)</v>
      </c>
      <c r="T174" s="106" t="s">
        <v>118</v>
      </c>
      <c r="U174" s="107" t="s">
        <v>118</v>
      </c>
      <c r="V174" s="107" t="s">
        <v>118</v>
      </c>
      <c r="W174" s="108" t="s">
        <v>118</v>
      </c>
    </row>
    <row r="175" spans="2:23" ht="15" thickBot="1" x14ac:dyDescent="0.4">
      <c r="B175" s="82">
        <v>6.3</v>
      </c>
      <c r="C175" s="83" t="s">
        <v>68</v>
      </c>
      <c r="D175" s="83" t="s">
        <v>107</v>
      </c>
      <c r="E175" s="98"/>
      <c r="F175" s="98"/>
      <c r="G175" s="99"/>
      <c r="H175" s="101"/>
      <c r="I175" s="101"/>
      <c r="J175" s="86" t="s">
        <v>112</v>
      </c>
      <c r="K175" s="88">
        <f>IFERROR(VLOOKUP($D175,$Y$9:$AB$10,2,FALSE)/IF($D175="Inhalation",IF($J175="Central Tendency",SUMIFS('Inhalation Exposure_Short-Term'!$F$7:$F$397,'Inhalation Exposure_Short-Term'!$B$7:$B$397,$B175,'Inhalation Exposure_Short-Term'!$D$7:$D$397,$C175),SUMIFS('Inhalation Exposure_Short-Term'!$G$7:$G$397,'Inhalation Exposure_Short-Term'!$B$7:$B$397,$B175,'Inhalation Exposure_Short-Term'!$D$7:$D$397,$C175)),IF($J175="Central Tendency",VLOOKUP($B175,'Dermal Exposure'!$A$6:$L$19,9,FALSE),VLOOKUP($B175,'Dermal Exposure'!$A$6:$L$19,4,FALSE))),"--")</f>
        <v>101.52284263959392</v>
      </c>
      <c r="L175" s="88" t="str">
        <f>IFERROR(VLOOKUP($D175,$Y$9:$AB$10,2,FALSE)/IF($D175="Inhalation",IF($J175="Central Tendency",SUMIFS('Inhalation Exposure_8-hr'!$H$6:$H$411,'Inhalation Exposure_8-hr'!$B$6:$B$411,$B175,'Inhalation Exposure_8-hr'!$D$6:$D$411,$C175),SUMIFS('Inhalation Exposure_8-hr'!$I$6:$I$411,'Inhalation Exposure_8-hr'!$B$6:$B$411,$B175,'Inhalation Exposure_8-hr'!$D$6:$D$411,$C175)),IF($J175="Central Tendency",VLOOKUP($B175,'Dermal Exposure'!$A$6:$L$19,9,FALSE),VLOOKUP($B175,'Dermal Exposure'!$A$6:$L$19,4,FALSE))),"--")</f>
        <v>--</v>
      </c>
      <c r="M175" s="88" t="str">
        <f>IFERROR(VLOOKUP($D175,$Y$9:$AB$10,3,FALSE)/IF($D175="Inhalation",IF($J175="Central Tendency",SUMIFS('Inhalation Exposure_8-hr'!$L$6:$L$411,'Inhalation Exposure_8-hr'!$B$6:$B$411,$B175,'Inhalation Exposure_8-hr'!$D$6:$D$411,$C175),SUMIFS('Inhalation Exposure_8-hr'!$M$6:$M$411,'Inhalation Exposure_8-hr'!$B$6:$B$411,$B175,'Inhalation Exposure_8-hr'!$D$6:$D$411,$C175)),IF($J175="Central Tendency",VLOOKUP($B175,'Dermal Exposure'!$A$6:$L$19,10,FALSE),VLOOKUP($B175,'Dermal Exposure'!$A$6:$L$19,5,FALSE))),"--")</f>
        <v>--</v>
      </c>
      <c r="N175" s="89" t="str">
        <f>IFERROR(VLOOKUP($D175,$Y$9:$AB$10,4,FALSE)/IF($D175="Inhalation",IF($J175="Central Tendency",SUMIFS('Inhalation Exposure_8-hr'!$N$6:$N$411,'Inhalation Exposure_8-hr'!$B$6:$B$411,$B175,'Inhalation Exposure_8-hr'!$D$6:$D$411,$C175),SUMIFS('Inhalation Exposure_8-hr'!$O$6:$O$411,'Inhalation Exposure_8-hr'!$B$6:$B$411,$B175,'Inhalation Exposure_8-hr'!$D$6:$D$411,$C175)),IF($J175="Central Tendency",VLOOKUP($B175,'Dermal Exposure'!$A$6:$L$19,11,FALSE),VLOOKUP($B175,'Dermal Exposure'!$A$6:$L$19,6,FALSE))),"--")</f>
        <v>--</v>
      </c>
      <c r="O175" s="91">
        <f>IFERROR(K175*T175, "--")</f>
        <v>507.6142131979696</v>
      </c>
      <c r="P175" s="91" t="str">
        <f>IFERROR(L175*U175, "--")</f>
        <v>--</v>
      </c>
      <c r="Q175" s="91" t="str">
        <f>IFERROR(M175*V175, "--")</f>
        <v>--</v>
      </c>
      <c r="R175" s="91" t="str">
        <f>IFERROR(N175*W175, "--")</f>
        <v>--</v>
      </c>
      <c r="T175" s="109">
        <v>5</v>
      </c>
      <c r="U175" s="110">
        <v>5</v>
      </c>
      <c r="V175" s="110">
        <v>5</v>
      </c>
      <c r="W175" s="111">
        <v>5</v>
      </c>
    </row>
    <row r="176" spans="2:23" ht="15" thickBot="1" x14ac:dyDescent="0.4">
      <c r="B176" s="82">
        <v>6.3</v>
      </c>
      <c r="C176" s="83" t="s">
        <v>68</v>
      </c>
      <c r="D176" s="83" t="s">
        <v>107</v>
      </c>
      <c r="E176" s="98"/>
      <c r="F176" s="98"/>
      <c r="G176" s="112"/>
      <c r="H176" s="101"/>
      <c r="I176" s="113"/>
      <c r="J176" s="113"/>
      <c r="K176" s="103"/>
      <c r="L176" s="103"/>
      <c r="M176" s="103"/>
      <c r="N176" s="104"/>
      <c r="O176" s="105" t="str">
        <f>CONCATENATE("(APF ",T175,")")</f>
        <v>(APF 5)</v>
      </c>
      <c r="P176" s="105" t="str">
        <f>CONCATENATE("(APF ",U175,")")</f>
        <v>(APF 5)</v>
      </c>
      <c r="Q176" s="105" t="str">
        <f>CONCATENATE("(APF ",V175,")")</f>
        <v>(APF 5)</v>
      </c>
      <c r="R176" s="105" t="str">
        <f>CONCATENATE("(APF ",W175,")")</f>
        <v>(APF 5)</v>
      </c>
      <c r="T176" s="114" t="s">
        <v>118</v>
      </c>
      <c r="U176" s="115" t="s">
        <v>118</v>
      </c>
      <c r="V176" s="115" t="s">
        <v>118</v>
      </c>
      <c r="W176" s="116" t="s">
        <v>118</v>
      </c>
    </row>
    <row r="177" spans="2:23" ht="15.75" customHeight="1" thickBot="1" x14ac:dyDescent="0.4">
      <c r="B177" s="82">
        <v>6</v>
      </c>
      <c r="C177" s="83" t="s">
        <v>68</v>
      </c>
      <c r="D177" s="83" t="s">
        <v>58</v>
      </c>
      <c r="E177" s="98"/>
      <c r="F177" s="98"/>
      <c r="G177" s="85" t="s">
        <v>521</v>
      </c>
      <c r="H177" s="101"/>
      <c r="I177" s="101" t="s">
        <v>58</v>
      </c>
      <c r="J177" s="86" t="s">
        <v>71</v>
      </c>
      <c r="K177" s="88" t="s">
        <v>86</v>
      </c>
      <c r="L177" s="88" t="s">
        <v>86</v>
      </c>
      <c r="M177" s="88">
        <f>IFERROR(VLOOKUP($D177,$Y$9:$AB$10,3,FALSE)/IF($D177="Inhalation",IF($J177="Central Tendency",SUMIFS('Inhalation Exposure_8-hr'!$L$6:$L$411,'Inhalation Exposure_8-hr'!$B$6:$B$411,$B177,'Inhalation Exposure_8-hr'!$D$6:$D$411,$C177),SUMIFS('Inhalation Exposure_8-hr'!$M$6:$M$411,'Inhalation Exposure_8-hr'!$B$6:$B$411,$B177,'Inhalation Exposure_8-hr'!$D$6:$D$411,$C177)),IF($J177="Central Tendency",VLOOKUP($B177,'Dermal Exposure'!$A$6:$L$19,5,FALSE),VLOOKUP($B177,'Dermal Exposure'!$A$6:$L$19,10,FALSE))),"--")</f>
        <v>503.67420136924784</v>
      </c>
      <c r="N177" s="89">
        <f>IFERROR(VLOOKUP($D177,$Y$9:$AB$10,4,FALSE)/IF($D177="Inhalation",IF($J177="Central Tendency",SUMIFS('Inhalation Exposure_8-hr'!$N$6:$N$411,'Inhalation Exposure_8-hr'!$B$6:$B$411,$B177,'Inhalation Exposure_8-hr'!$D$6:$D$411,$C177),SUMIFS('Inhalation Exposure_8-hr'!$O$6:$O$411,'Inhalation Exposure_8-hr'!$B$6:$B$411,$B177,'Inhalation Exposure_8-hr'!$D$6:$D$411,$C177)),IF($J177="Central Tendency",VLOOKUP($B177,'Dermal Exposure'!$A$6:$L$19,6,FALSE),VLOOKUP($B177,'Dermal Exposure'!$A$6:$L$19,11,FALSE))),"--")</f>
        <v>539.26717826600805</v>
      </c>
      <c r="O177" s="91" t="str">
        <f>IFERROR(K177*T177, "--")</f>
        <v>--</v>
      </c>
      <c r="P177" s="91" t="str">
        <f>IFERROR(L177*U177, "--")</f>
        <v>--</v>
      </c>
      <c r="Q177" s="91">
        <f>IFERROR(M177*V177, "--")</f>
        <v>2518.3710068462392</v>
      </c>
      <c r="R177" s="91">
        <f>IFERROR(N177*W177, "--")</f>
        <v>2696.3358913300403</v>
      </c>
      <c r="T177" s="92">
        <v>5</v>
      </c>
      <c r="U177" s="93">
        <v>5</v>
      </c>
      <c r="V177" s="93">
        <v>5</v>
      </c>
      <c r="W177" s="94">
        <v>5</v>
      </c>
    </row>
    <row r="178" spans="2:23" ht="15" thickBot="1" x14ac:dyDescent="0.4">
      <c r="B178" s="82">
        <v>6</v>
      </c>
      <c r="C178" s="83" t="s">
        <v>68</v>
      </c>
      <c r="D178" s="83" t="s">
        <v>58</v>
      </c>
      <c r="E178" s="98"/>
      <c r="F178" s="98"/>
      <c r="G178" s="100"/>
      <c r="H178" s="101"/>
      <c r="I178" s="101"/>
      <c r="J178" s="113"/>
      <c r="K178" s="103"/>
      <c r="L178" s="103"/>
      <c r="M178" s="103"/>
      <c r="N178" s="104"/>
      <c r="O178" s="105" t="str">
        <f>CONCATENATE("(PF ",T177,")")</f>
        <v>(PF 5)</v>
      </c>
      <c r="P178" s="105" t="str">
        <f>CONCATENATE("(PF ",U177,")")</f>
        <v>(PF 5)</v>
      </c>
      <c r="Q178" s="105" t="str">
        <f>CONCATENATE("(PF ",V177,")")</f>
        <v>(PF 5)</v>
      </c>
      <c r="R178" s="105" t="str">
        <f>CONCATENATE("(PF ",W177,")")</f>
        <v>(PF 5)</v>
      </c>
      <c r="T178" s="106" t="s">
        <v>118</v>
      </c>
      <c r="U178" s="107" t="s">
        <v>118</v>
      </c>
      <c r="V178" s="107" t="s">
        <v>118</v>
      </c>
      <c r="W178" s="108" t="s">
        <v>118</v>
      </c>
    </row>
    <row r="179" spans="2:23" ht="15" thickBot="1" x14ac:dyDescent="0.4">
      <c r="B179" s="82">
        <v>6</v>
      </c>
      <c r="C179" s="83" t="s">
        <v>68</v>
      </c>
      <c r="D179" s="83" t="s">
        <v>58</v>
      </c>
      <c r="E179" s="98"/>
      <c r="F179" s="98"/>
      <c r="G179" s="100"/>
      <c r="H179" s="101"/>
      <c r="I179" s="101"/>
      <c r="J179" s="86" t="s">
        <v>112</v>
      </c>
      <c r="K179" s="88" t="s">
        <v>86</v>
      </c>
      <c r="L179" s="88" t="s">
        <v>86</v>
      </c>
      <c r="M179" s="88">
        <f>IFERROR(VLOOKUP($D179,$Y$9:$AB$10,3,FALSE)/IF($D179="Inhalation",IF($J179="Central Tendency",SUMIFS('Inhalation Exposure_8-hr'!$L$6:$L$411,'Inhalation Exposure_8-hr'!$B$6:$B$411,$B179,'Inhalation Exposure_8-hr'!$D$6:$D$411,$C179),SUMIFS('Inhalation Exposure_8-hr'!$M$6:$M$411,'Inhalation Exposure_8-hr'!$B$6:$B$411,$B179,'Inhalation Exposure_8-hr'!$D$6:$D$411,$C179)),IF($J179="Central Tendency",VLOOKUP($B179,'Dermal Exposure'!$A$6:$L$19,5,FALSE),VLOOKUP($B179,'Dermal Exposure'!$A$6:$L$19,10,FALSE))),"--")</f>
        <v>145.32449789339651</v>
      </c>
      <c r="N179" s="89">
        <f>IFERROR(VLOOKUP($D179,$Y$9:$AB$10,4,FALSE)/IF($D179="Inhalation",IF($J179="Central Tendency",SUMIFS('Inhalation Exposure_8-hr'!$N$6:$N$411,'Inhalation Exposure_8-hr'!$B$6:$B$411,$B179,'Inhalation Exposure_8-hr'!$D$6:$D$411,$C179),SUMIFS('Inhalation Exposure_8-hr'!$O$6:$O$411,'Inhalation Exposure_8-hr'!$B$6:$B$411,$B179,'Inhalation Exposure_8-hr'!$D$6:$D$411,$C179)),IF($J179="Central Tendency",VLOOKUP($B179,'Dermal Exposure'!$A$6:$L$19,6,FALSE),VLOOKUP($B179,'Dermal Exposure'!$A$6:$L$19,11,FALSE))),"--")</f>
        <v>155.59409574452985</v>
      </c>
      <c r="O179" s="91" t="str">
        <f>IFERROR(K179*T179, "--")</f>
        <v>--</v>
      </c>
      <c r="P179" s="91" t="str">
        <f>IFERROR(L179*U179, "--")</f>
        <v>--</v>
      </c>
      <c r="Q179" s="91">
        <f>IFERROR(M179*V179, "--")</f>
        <v>726.62248946698253</v>
      </c>
      <c r="R179" s="91">
        <f>IFERROR(N179*W179, "--")</f>
        <v>777.9704787226492</v>
      </c>
      <c r="T179" s="109">
        <v>5</v>
      </c>
      <c r="U179" s="110">
        <v>5</v>
      </c>
      <c r="V179" s="110">
        <v>5</v>
      </c>
      <c r="W179" s="111">
        <v>5</v>
      </c>
    </row>
    <row r="180" spans="2:23" ht="15" thickBot="1" x14ac:dyDescent="0.4">
      <c r="B180" s="82">
        <v>6</v>
      </c>
      <c r="C180" s="83" t="s">
        <v>68</v>
      </c>
      <c r="D180" s="83" t="s">
        <v>58</v>
      </c>
      <c r="E180" s="98"/>
      <c r="F180" s="98"/>
      <c r="G180" s="100"/>
      <c r="H180" s="113"/>
      <c r="I180" s="113"/>
      <c r="J180" s="113"/>
      <c r="K180" s="103"/>
      <c r="L180" s="103"/>
      <c r="M180" s="103"/>
      <c r="N180" s="104"/>
      <c r="O180" s="105" t="str">
        <f>CONCATENATE("(PF ",T179,")")</f>
        <v>(PF 5)</v>
      </c>
      <c r="P180" s="105" t="str">
        <f>CONCATENATE("(PF ",U179,")")</f>
        <v>(PF 5)</v>
      </c>
      <c r="Q180" s="105" t="str">
        <f>CONCATENATE("(PF ",V179,")")</f>
        <v>(PF 5)</v>
      </c>
      <c r="R180" s="105" t="str">
        <f>CONCATENATE("(PF ",W179,")")</f>
        <v>(PF 5)</v>
      </c>
      <c r="T180" s="114" t="s">
        <v>118</v>
      </c>
      <c r="U180" s="115" t="s">
        <v>118</v>
      </c>
      <c r="V180" s="115" t="s">
        <v>118</v>
      </c>
      <c r="W180" s="116" t="s">
        <v>118</v>
      </c>
    </row>
    <row r="181" spans="2:23" ht="15.75" customHeight="1" thickBot="1" x14ac:dyDescent="0.4">
      <c r="B181" s="82" t="s">
        <v>176</v>
      </c>
      <c r="C181" s="83" t="s">
        <v>68</v>
      </c>
      <c r="D181" s="83" t="s">
        <v>107</v>
      </c>
      <c r="E181" s="84" t="s">
        <v>523</v>
      </c>
      <c r="F181" s="84" t="s">
        <v>198</v>
      </c>
      <c r="G181" s="85" t="s">
        <v>505</v>
      </c>
      <c r="H181" s="86" t="s">
        <v>68</v>
      </c>
      <c r="I181" s="86" t="s">
        <v>110</v>
      </c>
      <c r="J181" s="86" t="s">
        <v>71</v>
      </c>
      <c r="K181" s="88">
        <f>IFERROR(VLOOKUP($D181,$Y$9:$AB$10,2,FALSE)/IF($D181="Inhalation",IF($J181="Central Tendency",SUMIFS('Inhalation Exposure_Short-Term'!$F$7:$F$397,'Inhalation Exposure_Short-Term'!$B$7:$B$397,$B181,'Inhalation Exposure_Short-Term'!$D$7:$D$397,$C181),SUMIFS('Inhalation Exposure_Short-Term'!$G$7:$G$397,'Inhalation Exposure_Short-Term'!$B$7:$B$397,$B181,'Inhalation Exposure_Short-Term'!$D$7:$D$397,$C181)),IF($J181="Central Tendency",VLOOKUP($B181,'Dermal Exposure'!$A$6:$L$19,9,FALSE),VLOOKUP($B181,'Dermal Exposure'!$A$6:$L$19,4,FALSE))),"--")</f>
        <v>1643.5036911192215</v>
      </c>
      <c r="L181" s="88">
        <f>IFERROR(VLOOKUP($D181,$Y$9:$AB$10,2,FALSE)/IF($D181="Inhalation",IF($J181="Central Tendency",SUMIFS('Inhalation Exposure_8-hr'!$H$6:$H$411,'Inhalation Exposure_8-hr'!$B$6:$B$411,$B181,'Inhalation Exposure_8-hr'!$D$6:$D$411,$C181),SUMIFS('Inhalation Exposure_8-hr'!$I$6:$I$411,'Inhalation Exposure_8-hr'!$B$6:$B$411,$B181,'Inhalation Exposure_8-hr'!$D$6:$D$411,$C181)),IF($J181="Central Tendency",VLOOKUP($B181,'Dermal Exposure'!$A$6:$L$19,9,FALSE),VLOOKUP($B181,'Dermal Exposure'!$A$6:$L$19,4,FALSE))),"--")</f>
        <v>2233.7048878135888</v>
      </c>
      <c r="M181" s="88">
        <f>IFERROR(VLOOKUP($D181,$Y$9:$AB$10,3,FALSE)/IF($D181="Inhalation",IF($J181="Central Tendency",SUMIFS('Inhalation Exposure_8-hr'!$L$6:$L$411,'Inhalation Exposure_8-hr'!$B$6:$B$411,$B181,'Inhalation Exposure_8-hr'!$D$6:$D$411,$C181),SUMIFS('Inhalation Exposure_8-hr'!$M$6:$M$411,'Inhalation Exposure_8-hr'!$B$6:$B$411,$B181,'Inhalation Exposure_8-hr'!$D$6:$D$411,$C181)),IF($J181="Central Tendency",VLOOKUP($B181,'Dermal Exposure'!$A$6:$L$19,10,FALSE),VLOOKUP($B181,'Dermal Exposure'!$A$6:$L$19,5,FALSE))),"--")</f>
        <v>66.044053950024733</v>
      </c>
      <c r="N181" s="89">
        <f>IFERROR(VLOOKUP($D181,$Y$9:$AB$10,4,FALSE)/IF($D181="Inhalation",IF($J181="Central Tendency",SUMIFS('Inhalation Exposure_8-hr'!$N$6:$N$411,'Inhalation Exposure_8-hr'!$B$6:$B$411,$B181,'Inhalation Exposure_8-hr'!$D$6:$D$411,$C181),SUMIFS('Inhalation Exposure_8-hr'!$O$6:$O$411,'Inhalation Exposure_8-hr'!$B$6:$B$411,$B181,'Inhalation Exposure_8-hr'!$D$6:$D$411,$C181)),IF($J181="Central Tendency",VLOOKUP($B181,'Dermal Exposure'!$A$6:$L$19,11,FALSE),VLOOKUP($B181,'Dermal Exposure'!$A$6:$L$19,6,FALSE))),"--")</f>
        <v>70.711167095826497</v>
      </c>
      <c r="O181" s="91">
        <f>IFERROR(K181*T181, "--")</f>
        <v>16435.036911192215</v>
      </c>
      <c r="P181" s="91">
        <f>IFERROR(L181*U181, "--")</f>
        <v>22337.048878135887</v>
      </c>
      <c r="Q181" s="91">
        <f>IFERROR(M181*V181, "--")</f>
        <v>660.44053950024727</v>
      </c>
      <c r="R181" s="91">
        <f>IFERROR(N181*W181, "--")</f>
        <v>707.11167095826499</v>
      </c>
      <c r="T181" s="92">
        <v>10</v>
      </c>
      <c r="U181" s="93">
        <v>10</v>
      </c>
      <c r="V181" s="93">
        <v>10</v>
      </c>
      <c r="W181" s="94">
        <v>10</v>
      </c>
    </row>
    <row r="182" spans="2:23" ht="15" thickBot="1" x14ac:dyDescent="0.4">
      <c r="B182" s="82" t="s">
        <v>176</v>
      </c>
      <c r="C182" s="83" t="s">
        <v>68</v>
      </c>
      <c r="D182" s="83" t="s">
        <v>107</v>
      </c>
      <c r="E182" s="98"/>
      <c r="F182" s="122"/>
      <c r="G182" s="99"/>
      <c r="H182" s="100"/>
      <c r="I182" s="101"/>
      <c r="J182" s="113"/>
      <c r="K182" s="103"/>
      <c r="L182" s="103"/>
      <c r="M182" s="103"/>
      <c r="N182" s="104"/>
      <c r="O182" s="105" t="str">
        <f>CONCATENATE("(APF ",T181,")")</f>
        <v>(APF 10)</v>
      </c>
      <c r="P182" s="105" t="str">
        <f>CONCATENATE("(APF ",U181,")")</f>
        <v>(APF 10)</v>
      </c>
      <c r="Q182" s="105" t="str">
        <f>CONCATENATE("(APF ",V181,")")</f>
        <v>(APF 10)</v>
      </c>
      <c r="R182" s="105" t="str">
        <f>CONCATENATE("(APF ",W181,")")</f>
        <v>(APF 10)</v>
      </c>
      <c r="T182" s="106" t="s">
        <v>111</v>
      </c>
      <c r="U182" s="107" t="s">
        <v>111</v>
      </c>
      <c r="V182" s="107" t="s">
        <v>111</v>
      </c>
      <c r="W182" s="108" t="s">
        <v>111</v>
      </c>
    </row>
    <row r="183" spans="2:23" ht="15" thickBot="1" x14ac:dyDescent="0.4">
      <c r="B183" s="82" t="s">
        <v>176</v>
      </c>
      <c r="C183" s="83" t="s">
        <v>68</v>
      </c>
      <c r="D183" s="83" t="s">
        <v>107</v>
      </c>
      <c r="E183" s="98"/>
      <c r="F183" s="122"/>
      <c r="G183" s="99"/>
      <c r="H183" s="100"/>
      <c r="I183" s="101"/>
      <c r="J183" s="86" t="s">
        <v>112</v>
      </c>
      <c r="K183" s="88">
        <f>IFERROR(VLOOKUP($D183,$Y$9:$AB$10,2,FALSE)/IF($D183="Inhalation",IF($J183="Central Tendency",SUMIFS('Inhalation Exposure_Short-Term'!$F$7:$F$397,'Inhalation Exposure_Short-Term'!$B$7:$B$397,$B183,'Inhalation Exposure_Short-Term'!$D$7:$D$397,$C183),SUMIFS('Inhalation Exposure_Short-Term'!$G$7:$G$397,'Inhalation Exposure_Short-Term'!$B$7:$B$397,$B183,'Inhalation Exposure_Short-Term'!$D$7:$D$397,$C183)),IF($J183="Central Tendency",VLOOKUP($B183,'Dermal Exposure'!$A$6:$L$19,9,FALSE),VLOOKUP($B183,'Dermal Exposure'!$A$6:$L$19,4,FALSE))),"--")</f>
        <v>914.34608530262881</v>
      </c>
      <c r="L183" s="88">
        <f>IFERROR(VLOOKUP($D183,$Y$9:$AB$10,2,FALSE)/IF($D183="Inhalation",IF($J183="Central Tendency",SUMIFS('Inhalation Exposure_8-hr'!$H$6:$H$411,'Inhalation Exposure_8-hr'!$B$6:$B$411,$B183,'Inhalation Exposure_8-hr'!$D$6:$D$411,$C183),SUMIFS('Inhalation Exposure_8-hr'!$I$6:$I$411,'Inhalation Exposure_8-hr'!$B$6:$B$411,$B183,'Inhalation Exposure_8-hr'!$D$6:$D$411,$C183)),IF($J183="Central Tendency",VLOOKUP($B183,'Dermal Exposure'!$A$6:$L$19,9,FALSE),VLOOKUP($B183,'Dermal Exposure'!$A$6:$L$19,4,FALSE))),"--")</f>
        <v>1399.7621097507927</v>
      </c>
      <c r="M183" s="88">
        <f>IFERROR(VLOOKUP($D183,$Y$9:$AB$10,3,FALSE)/IF($D183="Inhalation",IF($J183="Central Tendency",SUMIFS('Inhalation Exposure_8-hr'!$L$6:$L$411,'Inhalation Exposure_8-hr'!$B$6:$B$411,$B183,'Inhalation Exposure_8-hr'!$D$6:$D$411,$C183),SUMIFS('Inhalation Exposure_8-hr'!$M$6:$M$411,'Inhalation Exposure_8-hr'!$B$6:$B$411,$B183,'Inhalation Exposure_8-hr'!$D$6:$D$411,$C183)),IF($J183="Central Tendency",VLOOKUP($B183,'Dermal Exposure'!$A$6:$L$19,10,FALSE),VLOOKUP($B183,'Dermal Exposure'!$A$6:$L$19,5,FALSE))),"--")</f>
        <v>41.386829924552138</v>
      </c>
      <c r="N183" s="89">
        <f>IFERROR(VLOOKUP($D183,$Y$9:$AB$10,4,FALSE)/IF($D183="Inhalation",IF($J183="Central Tendency",SUMIFS('Inhalation Exposure_8-hr'!$N$6:$N$411,'Inhalation Exposure_8-hr'!$B$6:$B$411,$B183,'Inhalation Exposure_8-hr'!$D$6:$D$411,$C183),SUMIFS('Inhalation Exposure_8-hr'!$O$6:$O$411,'Inhalation Exposure_8-hr'!$B$6:$B$411,$B183,'Inhalation Exposure_8-hr'!$D$6:$D$411,$C183)),IF($J183="Central Tendency",VLOOKUP($B183,'Dermal Exposure'!$A$6:$L$19,11,FALSE),VLOOKUP($B183,'Dermal Exposure'!$A$6:$L$19,6,FALSE))),"--")</f>
        <v>44.311499239220488</v>
      </c>
      <c r="O183" s="91">
        <f>IFERROR(K183*T183, "--")</f>
        <v>9143.4608530262885</v>
      </c>
      <c r="P183" s="91">
        <f>IFERROR(L183*U183, "--")</f>
        <v>13997.621097507927</v>
      </c>
      <c r="Q183" s="91">
        <f>IFERROR(M183*V183, "--")</f>
        <v>413.86829924552137</v>
      </c>
      <c r="R183" s="91">
        <f>IFERROR(N183*W183, "--")</f>
        <v>443.1149923922049</v>
      </c>
      <c r="T183" s="109">
        <v>10</v>
      </c>
      <c r="U183" s="110">
        <v>10</v>
      </c>
      <c r="V183" s="110">
        <v>10</v>
      </c>
      <c r="W183" s="111">
        <v>10</v>
      </c>
    </row>
    <row r="184" spans="2:23" ht="15" thickBot="1" x14ac:dyDescent="0.4">
      <c r="B184" s="82" t="s">
        <v>176</v>
      </c>
      <c r="C184" s="83" t="s">
        <v>68</v>
      </c>
      <c r="D184" s="83" t="s">
        <v>107</v>
      </c>
      <c r="E184" s="98"/>
      <c r="F184" s="122"/>
      <c r="G184" s="112"/>
      <c r="H184" s="100"/>
      <c r="I184" s="113"/>
      <c r="J184" s="113"/>
      <c r="K184" s="103"/>
      <c r="L184" s="103"/>
      <c r="M184" s="103"/>
      <c r="N184" s="104"/>
      <c r="O184" s="105" t="str">
        <f>CONCATENATE("(APF ",T183,")")</f>
        <v>(APF 10)</v>
      </c>
      <c r="P184" s="105" t="str">
        <f>CONCATENATE("(APF ",U183,")")</f>
        <v>(APF 10)</v>
      </c>
      <c r="Q184" s="105" t="str">
        <f>CONCATENATE("(APF ",V183,")")</f>
        <v>(APF 10)</v>
      </c>
      <c r="R184" s="105" t="str">
        <f>CONCATENATE("(APF ",W183,")")</f>
        <v>(APF 10)</v>
      </c>
      <c r="T184" s="114" t="s">
        <v>111</v>
      </c>
      <c r="U184" s="115" t="s">
        <v>111</v>
      </c>
      <c r="V184" s="115" t="s">
        <v>111</v>
      </c>
      <c r="W184" s="116" t="s">
        <v>111</v>
      </c>
    </row>
    <row r="185" spans="2:23" ht="15.75" customHeight="1" thickBot="1" x14ac:dyDescent="0.4">
      <c r="B185" s="82" t="s">
        <v>533</v>
      </c>
      <c r="C185" s="83" t="s">
        <v>68</v>
      </c>
      <c r="D185" s="83" t="s">
        <v>107</v>
      </c>
      <c r="E185" s="98"/>
      <c r="F185" s="122"/>
      <c r="G185" s="85" t="s">
        <v>534</v>
      </c>
      <c r="H185" s="100"/>
      <c r="I185" s="86" t="s">
        <v>110</v>
      </c>
      <c r="J185" s="86" t="s">
        <v>71</v>
      </c>
      <c r="K185" s="88">
        <f>IFERROR(VLOOKUP($D185,$Y$9:$AB$10,2,FALSE)/IF($D185="Inhalation",IF($J185="Central Tendency",SUMIFS('Inhalation Exposure_Short-Term'!$F$7:$F$397,'Inhalation Exposure_Short-Term'!$B$7:$B$397,$B185,'Inhalation Exposure_Short-Term'!$D$7:$D$397,$C185),SUMIFS('Inhalation Exposure_Short-Term'!$G$7:$G$397,'Inhalation Exposure_Short-Term'!$B$7:$B$397,$B185,'Inhalation Exposure_Short-Term'!$D$7:$D$397,$C185)),IF($J185="Central Tendency",VLOOKUP($B185,'Dermal Exposure'!$A$6:$L$19,9,FALSE),VLOOKUP($B185,'Dermal Exposure'!$A$6:$L$19,4,FALSE))),"--")</f>
        <v>2086.7506188784846</v>
      </c>
      <c r="L185" s="88" t="str">
        <f>IFERROR(VLOOKUP($D185,$Y$9:$AB$10,2,FALSE)/IF($D185="Inhalation",IF($J185="Central Tendency",SUMIFS('Inhalation Exposure_8-hr'!$H$6:$H$411,'Inhalation Exposure_8-hr'!$B$6:$B$411,$B185,'Inhalation Exposure_8-hr'!$D$6:$D$411,$C185),SUMIFS('Inhalation Exposure_8-hr'!$I$6:$I$411,'Inhalation Exposure_8-hr'!$B$6:$B$411,$B185,'Inhalation Exposure_8-hr'!$D$6:$D$411,$C185)),IF($J185="Central Tendency",VLOOKUP($B185,'Dermal Exposure'!$A$6:$L$19,9,FALSE),VLOOKUP($B185,'Dermal Exposure'!$A$6:$L$19,4,FALSE))),"--")</f>
        <v>--</v>
      </c>
      <c r="M185" s="88" t="str">
        <f>IFERROR(VLOOKUP($D185,$Y$9:$AB$10,3,FALSE)/IF($D185="Inhalation",IF($J185="Central Tendency",SUMIFS('Inhalation Exposure_8-hr'!$L$6:$L$411,'Inhalation Exposure_8-hr'!$B$6:$B$411,$B185,'Inhalation Exposure_8-hr'!$D$6:$D$411,$C185),SUMIFS('Inhalation Exposure_8-hr'!$M$6:$M$411,'Inhalation Exposure_8-hr'!$B$6:$B$411,$B185,'Inhalation Exposure_8-hr'!$D$6:$D$411,$C185)),IF($J185="Central Tendency",VLOOKUP($B185,'Dermal Exposure'!$A$6:$L$19,10,FALSE),VLOOKUP($B185,'Dermal Exposure'!$A$6:$L$19,5,FALSE))),"--")</f>
        <v>--</v>
      </c>
      <c r="N185" s="89" t="str">
        <f>IFERROR(VLOOKUP($D185,$Y$9:$AB$10,4,FALSE)/IF($D185="Inhalation",IF($J185="Central Tendency",SUMIFS('Inhalation Exposure_8-hr'!$N$6:$N$411,'Inhalation Exposure_8-hr'!$B$6:$B$411,$B185,'Inhalation Exposure_8-hr'!$D$6:$D$411,$C185),SUMIFS('Inhalation Exposure_8-hr'!$O$6:$O$411,'Inhalation Exposure_8-hr'!$B$6:$B$411,$B185,'Inhalation Exposure_8-hr'!$D$6:$D$411,$C185)),IF($J185="Central Tendency",VLOOKUP($B185,'Dermal Exposure'!$A$6:$L$19,11,FALSE),VLOOKUP($B185,'Dermal Exposure'!$A$6:$L$19,6,FALSE))),"--")</f>
        <v>--</v>
      </c>
      <c r="O185" s="91">
        <f>IFERROR(K185*T185, "--")</f>
        <v>20867.506188784846</v>
      </c>
      <c r="P185" s="91" t="str">
        <f>IFERROR(L185*U185, "--")</f>
        <v>--</v>
      </c>
      <c r="Q185" s="91" t="str">
        <f>IFERROR(M185*V185, "--")</f>
        <v>--</v>
      </c>
      <c r="R185" s="91" t="str">
        <f>IFERROR(N185*W185, "--")</f>
        <v>--</v>
      </c>
      <c r="T185" s="92">
        <v>10</v>
      </c>
      <c r="U185" s="93">
        <v>10</v>
      </c>
      <c r="V185" s="93">
        <v>10</v>
      </c>
      <c r="W185" s="94">
        <v>10</v>
      </c>
    </row>
    <row r="186" spans="2:23" ht="15" thickBot="1" x14ac:dyDescent="0.4">
      <c r="B186" s="82" t="s">
        <v>533</v>
      </c>
      <c r="C186" s="83" t="s">
        <v>68</v>
      </c>
      <c r="D186" s="83" t="s">
        <v>107</v>
      </c>
      <c r="E186" s="98"/>
      <c r="F186" s="122"/>
      <c r="G186" s="99"/>
      <c r="H186" s="100"/>
      <c r="I186" s="101"/>
      <c r="J186" s="113"/>
      <c r="K186" s="103"/>
      <c r="L186" s="103"/>
      <c r="M186" s="103"/>
      <c r="N186" s="104"/>
      <c r="O186" s="105" t="str">
        <f>CONCATENATE("(APF ",T185,")")</f>
        <v>(APF 10)</v>
      </c>
      <c r="P186" s="105" t="str">
        <f>CONCATENATE("(APF ",U185,")")</f>
        <v>(APF 10)</v>
      </c>
      <c r="Q186" s="105" t="str">
        <f>CONCATENATE("(APF ",V185,")")</f>
        <v>(APF 10)</v>
      </c>
      <c r="R186" s="105" t="str">
        <f>CONCATENATE("(APF ",W185,")")</f>
        <v>(APF 10)</v>
      </c>
      <c r="T186" s="106" t="s">
        <v>111</v>
      </c>
      <c r="U186" s="107" t="s">
        <v>111</v>
      </c>
      <c r="V186" s="107" t="s">
        <v>111</v>
      </c>
      <c r="W186" s="108" t="s">
        <v>111</v>
      </c>
    </row>
    <row r="187" spans="2:23" ht="15" thickBot="1" x14ac:dyDescent="0.4">
      <c r="B187" s="82" t="s">
        <v>533</v>
      </c>
      <c r="C187" s="83" t="s">
        <v>68</v>
      </c>
      <c r="D187" s="83" t="s">
        <v>107</v>
      </c>
      <c r="E187" s="98"/>
      <c r="F187" s="122"/>
      <c r="G187" s="99"/>
      <c r="H187" s="100"/>
      <c r="I187" s="101"/>
      <c r="J187" s="86" t="s">
        <v>112</v>
      </c>
      <c r="K187" s="88">
        <f>IFERROR(VLOOKUP($D187,$Y$9:$AB$10,2,FALSE)/IF($D187="Inhalation",IF($J187="Central Tendency",SUMIFS('Inhalation Exposure_Short-Term'!$F$7:$F$397,'Inhalation Exposure_Short-Term'!$B$7:$B$397,$B187,'Inhalation Exposure_Short-Term'!$D$7:$D$397,$C187),SUMIFS('Inhalation Exposure_Short-Term'!$G$7:$G$397,'Inhalation Exposure_Short-Term'!$B$7:$B$397,$B187,'Inhalation Exposure_Short-Term'!$D$7:$D$397,$C187)),IF($J187="Central Tendency",VLOOKUP($B187,'Dermal Exposure'!$A$6:$L$19,9,FALSE),VLOOKUP($B187,'Dermal Exposure'!$A$6:$L$19,4,FALSE))),"--")</f>
        <v>24.390243902439028</v>
      </c>
      <c r="L187" s="88" t="str">
        <f>IFERROR(VLOOKUP($D187,$Y$9:$AB$10,2,FALSE)/IF($D187="Inhalation",IF($J187="Central Tendency",SUMIFS('Inhalation Exposure_8-hr'!$H$6:$H$411,'Inhalation Exposure_8-hr'!$B$6:$B$411,$B187,'Inhalation Exposure_8-hr'!$D$6:$D$411,$C187),SUMIFS('Inhalation Exposure_8-hr'!$I$6:$I$411,'Inhalation Exposure_8-hr'!$B$6:$B$411,$B187,'Inhalation Exposure_8-hr'!$D$6:$D$411,$C187)),IF($J187="Central Tendency",VLOOKUP($B187,'Dermal Exposure'!$A$6:$L$19,9,FALSE),VLOOKUP($B187,'Dermal Exposure'!$A$6:$L$19,4,FALSE))),"--")</f>
        <v>--</v>
      </c>
      <c r="M187" s="88" t="str">
        <f>IFERROR(VLOOKUP($D187,$Y$9:$AB$10,3,FALSE)/IF($D187="Inhalation",IF($J187="Central Tendency",SUMIFS('Inhalation Exposure_8-hr'!$L$6:$L$411,'Inhalation Exposure_8-hr'!$B$6:$B$411,$B187,'Inhalation Exposure_8-hr'!$D$6:$D$411,$C187),SUMIFS('Inhalation Exposure_8-hr'!$M$6:$M$411,'Inhalation Exposure_8-hr'!$B$6:$B$411,$B187,'Inhalation Exposure_8-hr'!$D$6:$D$411,$C187)),IF($J187="Central Tendency",VLOOKUP($B187,'Dermal Exposure'!$A$6:$L$19,10,FALSE),VLOOKUP($B187,'Dermal Exposure'!$A$6:$L$19,5,FALSE))),"--")</f>
        <v>--</v>
      </c>
      <c r="N187" s="89" t="str">
        <f>IFERROR(VLOOKUP($D187,$Y$9:$AB$10,4,FALSE)/IF($D187="Inhalation",IF($J187="Central Tendency",SUMIFS('Inhalation Exposure_8-hr'!$N$6:$N$411,'Inhalation Exposure_8-hr'!$B$6:$B$411,$B187,'Inhalation Exposure_8-hr'!$D$6:$D$411,$C187),SUMIFS('Inhalation Exposure_8-hr'!$O$6:$O$411,'Inhalation Exposure_8-hr'!$B$6:$B$411,$B187,'Inhalation Exposure_8-hr'!$D$6:$D$411,$C187)),IF($J187="Central Tendency",VLOOKUP($B187,'Dermal Exposure'!$A$6:$L$19,11,FALSE),VLOOKUP($B187,'Dermal Exposure'!$A$6:$L$19,6,FALSE))),"--")</f>
        <v>--</v>
      </c>
      <c r="O187" s="91">
        <f>IFERROR(K187*T187, "--")</f>
        <v>243.90243902439028</v>
      </c>
      <c r="P187" s="91" t="str">
        <f>IFERROR(L187*U187, "--")</f>
        <v>--</v>
      </c>
      <c r="Q187" s="91" t="str">
        <f>IFERROR(M187*V187, "--")</f>
        <v>--</v>
      </c>
      <c r="R187" s="91" t="str">
        <f>IFERROR(N187*W187, "--")</f>
        <v>--</v>
      </c>
      <c r="T187" s="109">
        <v>10</v>
      </c>
      <c r="U187" s="110">
        <v>10</v>
      </c>
      <c r="V187" s="110">
        <v>10</v>
      </c>
      <c r="W187" s="111">
        <v>10</v>
      </c>
    </row>
    <row r="188" spans="2:23" ht="15" thickBot="1" x14ac:dyDescent="0.4">
      <c r="B188" s="82" t="s">
        <v>533</v>
      </c>
      <c r="C188" s="83" t="s">
        <v>68</v>
      </c>
      <c r="D188" s="83" t="s">
        <v>107</v>
      </c>
      <c r="E188" s="98"/>
      <c r="F188" s="122"/>
      <c r="G188" s="112"/>
      <c r="H188" s="100"/>
      <c r="I188" s="113"/>
      <c r="J188" s="113"/>
      <c r="K188" s="103"/>
      <c r="L188" s="103"/>
      <c r="M188" s="103"/>
      <c r="N188" s="104"/>
      <c r="O188" s="105" t="str">
        <f>CONCATENATE("(APF ",T187,")")</f>
        <v>(APF 10)</v>
      </c>
      <c r="P188" s="105" t="str">
        <f>CONCATENATE("(APF ",U187,")")</f>
        <v>(APF 10)</v>
      </c>
      <c r="Q188" s="105" t="str">
        <f>CONCATENATE("(APF ",V187,")")</f>
        <v>(APF 10)</v>
      </c>
      <c r="R188" s="105" t="str">
        <f>CONCATENATE("(APF ",W187,")")</f>
        <v>(APF 10)</v>
      </c>
      <c r="T188" s="114" t="s">
        <v>111</v>
      </c>
      <c r="U188" s="115" t="s">
        <v>111</v>
      </c>
      <c r="V188" s="115" t="s">
        <v>111</v>
      </c>
      <c r="W188" s="116" t="s">
        <v>111</v>
      </c>
    </row>
    <row r="189" spans="2:23" ht="15.75" customHeight="1" thickBot="1" x14ac:dyDescent="0.4">
      <c r="B189" s="82" t="s">
        <v>179</v>
      </c>
      <c r="C189" s="83" t="s">
        <v>68</v>
      </c>
      <c r="D189" s="83" t="s">
        <v>107</v>
      </c>
      <c r="E189" s="98"/>
      <c r="F189" s="122"/>
      <c r="G189" s="85" t="s">
        <v>506</v>
      </c>
      <c r="H189" s="100"/>
      <c r="I189" s="86" t="s">
        <v>110</v>
      </c>
      <c r="J189" s="86" t="s">
        <v>71</v>
      </c>
      <c r="K189" s="88" t="str">
        <f>IFERROR(VLOOKUP($D189,$Y$9:$AB$10,2,FALSE)/IF($D189="Inhalation",IF($J189="Central Tendency",SUMIFS('Inhalation Exposure_Short-Term'!$F$7:$F$397,'Inhalation Exposure_Short-Term'!$B$7:$B$397,$B189,'Inhalation Exposure_Short-Term'!$D$7:$D$397,$C189),SUMIFS('Inhalation Exposure_Short-Term'!$G$7:$G$397,'Inhalation Exposure_Short-Term'!$B$7:$B$397,$B189,'Inhalation Exposure_Short-Term'!$D$7:$D$397,$C189)),IF($J189="Central Tendency",VLOOKUP($B189,'Dermal Exposure'!$A$6:$L$19,9,FALSE),VLOOKUP($B189,'Dermal Exposure'!$A$6:$L$19,4,FALSE))),"--")</f>
        <v>--</v>
      </c>
      <c r="L189" s="88">
        <f>IFERROR(VLOOKUP($D189,$Y$9:$AB$10,2,FALSE)/IF($D189="Inhalation",IF($J189="Central Tendency",SUMIFS('Inhalation Exposure_8-hr'!$H$6:$H$411,'Inhalation Exposure_8-hr'!$B$6:$B$411,$B189,'Inhalation Exposure_8-hr'!$D$6:$D$411,$C189),SUMIFS('Inhalation Exposure_8-hr'!$I$6:$I$411,'Inhalation Exposure_8-hr'!$B$6:$B$411,$B189,'Inhalation Exposure_8-hr'!$D$6:$D$411,$C189)),IF($J189="Central Tendency",VLOOKUP($B189,'Dermal Exposure'!$A$6:$L$19,9,FALSE),VLOOKUP($B189,'Dermal Exposure'!$A$6:$L$19,4,FALSE))),"--")</f>
        <v>247.64041176541028</v>
      </c>
      <c r="M189" s="88">
        <f>IFERROR(VLOOKUP($D189,$Y$9:$AB$10,3,FALSE)/IF($D189="Inhalation",IF($J189="Central Tendency",SUMIFS('Inhalation Exposure_8-hr'!$L$6:$L$411,'Inhalation Exposure_8-hr'!$B$6:$B$411,$B189,'Inhalation Exposure_8-hr'!$D$6:$D$411,$C189),SUMIFS('Inhalation Exposure_8-hr'!$M$6:$M$411,'Inhalation Exposure_8-hr'!$B$6:$B$411,$B189,'Inhalation Exposure_8-hr'!$D$6:$D$411,$C189)),IF($J189="Central Tendency",VLOOKUP($B189,'Dermal Exposure'!$A$6:$L$19,10,FALSE),VLOOKUP($B189,'Dermal Exposure'!$A$6:$L$19,5,FALSE))),"--")</f>
        <v>7.3219953110502383</v>
      </c>
      <c r="N189" s="89">
        <f>IFERROR(VLOOKUP($D189,$Y$9:$AB$10,4,FALSE)/IF($D189="Inhalation",IF($J189="Central Tendency",SUMIFS('Inhalation Exposure_8-hr'!$N$6:$N$411,'Inhalation Exposure_8-hr'!$B$6:$B$411,$B189,'Inhalation Exposure_8-hr'!$D$6:$D$411,$C189),SUMIFS('Inhalation Exposure_8-hr'!$O$6:$O$411,'Inhalation Exposure_8-hr'!$B$6:$B$411,$B189,'Inhalation Exposure_8-hr'!$D$6:$D$411,$C189)),IF($J189="Central Tendency",VLOOKUP($B189,'Dermal Exposure'!$A$6:$L$19,11,FALSE),VLOOKUP($B189,'Dermal Exposure'!$A$6:$L$19,6,FALSE))),"--")</f>
        <v>7.8394163130311219</v>
      </c>
      <c r="O189" s="91" t="str">
        <f>IFERROR(K189*T189, "--")</f>
        <v>--</v>
      </c>
      <c r="P189" s="91">
        <f>IFERROR(L189*U189, "--")</f>
        <v>2476.4041176541027</v>
      </c>
      <c r="Q189" s="91">
        <f>IFERROR(M189*V189, "--")</f>
        <v>73.219953110502388</v>
      </c>
      <c r="R189" s="91">
        <f>IFERROR(N189*W189, "--")</f>
        <v>78.394163130311213</v>
      </c>
      <c r="T189" s="92">
        <v>10</v>
      </c>
      <c r="U189" s="93">
        <v>10</v>
      </c>
      <c r="V189" s="93">
        <v>10</v>
      </c>
      <c r="W189" s="94">
        <v>10</v>
      </c>
    </row>
    <row r="190" spans="2:23" ht="15" thickBot="1" x14ac:dyDescent="0.4">
      <c r="B190" s="82" t="s">
        <v>179</v>
      </c>
      <c r="C190" s="83" t="s">
        <v>68</v>
      </c>
      <c r="D190" s="83" t="s">
        <v>107</v>
      </c>
      <c r="E190" s="98"/>
      <c r="F190" s="122"/>
      <c r="G190" s="99"/>
      <c r="H190" s="100"/>
      <c r="I190" s="101"/>
      <c r="J190" s="113"/>
      <c r="K190" s="103"/>
      <c r="L190" s="103"/>
      <c r="M190" s="103"/>
      <c r="N190" s="104"/>
      <c r="O190" s="105" t="str">
        <f>CONCATENATE("(APF ",T189,")")</f>
        <v>(APF 10)</v>
      </c>
      <c r="P190" s="105" t="str">
        <f>CONCATENATE("(APF ",U189,")")</f>
        <v>(APF 10)</v>
      </c>
      <c r="Q190" s="105" t="str">
        <f>CONCATENATE("(APF ",V189,")")</f>
        <v>(APF 10)</v>
      </c>
      <c r="R190" s="105" t="str">
        <f>CONCATENATE("(APF ",W189,")")</f>
        <v>(APF 10)</v>
      </c>
      <c r="T190" s="106" t="s">
        <v>111</v>
      </c>
      <c r="U190" s="107" t="s">
        <v>111</v>
      </c>
      <c r="V190" s="107" t="s">
        <v>111</v>
      </c>
      <c r="W190" s="108" t="s">
        <v>111</v>
      </c>
    </row>
    <row r="191" spans="2:23" ht="15" thickBot="1" x14ac:dyDescent="0.4">
      <c r="B191" s="82" t="s">
        <v>179</v>
      </c>
      <c r="C191" s="83" t="s">
        <v>68</v>
      </c>
      <c r="D191" s="83" t="s">
        <v>107</v>
      </c>
      <c r="E191" s="98"/>
      <c r="F191" s="122"/>
      <c r="G191" s="99"/>
      <c r="H191" s="100"/>
      <c r="I191" s="101"/>
      <c r="J191" s="86" t="s">
        <v>112</v>
      </c>
      <c r="K191" s="88" t="str">
        <f>IFERROR(VLOOKUP($D191,$Y$9:$AB$10,2,FALSE)/IF($D191="Inhalation",IF($J191="Central Tendency",SUMIFS('Inhalation Exposure_Short-Term'!$F$7:$F$397,'Inhalation Exposure_Short-Term'!$B$7:$B$397,$B191,'Inhalation Exposure_Short-Term'!$D$7:$D$397,$C191),SUMIFS('Inhalation Exposure_Short-Term'!$G$7:$G$397,'Inhalation Exposure_Short-Term'!$B$7:$B$397,$B191,'Inhalation Exposure_Short-Term'!$D$7:$D$397,$C191)),IF($J191="Central Tendency",VLOOKUP($B191,'Dermal Exposure'!$A$6:$L$19,9,FALSE),VLOOKUP($B191,'Dermal Exposure'!$A$6:$L$19,4,FALSE))),"--")</f>
        <v>--</v>
      </c>
      <c r="L191" s="88">
        <f>IFERROR(VLOOKUP($D191,$Y$9:$AB$10,2,FALSE)/IF($D191="Inhalation",IF($J191="Central Tendency",SUMIFS('Inhalation Exposure_8-hr'!$H$6:$H$411,'Inhalation Exposure_8-hr'!$B$6:$B$411,$B191,'Inhalation Exposure_8-hr'!$D$6:$D$411,$C191),SUMIFS('Inhalation Exposure_8-hr'!$I$6:$I$411,'Inhalation Exposure_8-hr'!$B$6:$B$411,$B191,'Inhalation Exposure_8-hr'!$D$6:$D$411,$C191)),IF($J191="Central Tendency",VLOOKUP($B191,'Dermal Exposure'!$A$6:$L$19,9,FALSE),VLOOKUP($B191,'Dermal Exposure'!$A$6:$L$19,4,FALSE))),"--")</f>
        <v>71.023737732722964</v>
      </c>
      <c r="M191" s="88">
        <f>IFERROR(VLOOKUP($D191,$Y$9:$AB$10,3,FALSE)/IF($D191="Inhalation",IF($J191="Central Tendency",SUMIFS('Inhalation Exposure_8-hr'!$L$6:$L$411,'Inhalation Exposure_8-hr'!$B$6:$B$411,$B191,'Inhalation Exposure_8-hr'!$D$6:$D$411,$C191),SUMIFS('Inhalation Exposure_8-hr'!$M$6:$M$411,'Inhalation Exposure_8-hr'!$B$6:$B$411,$B191,'Inhalation Exposure_8-hr'!$D$6:$D$411,$C191)),IF($J191="Central Tendency",VLOOKUP($B191,'Dermal Exposure'!$A$6:$L$19,10,FALSE),VLOOKUP($B191,'Dermal Exposure'!$A$6:$L$19,5,FALSE))),"--")</f>
        <v>2.0999620818951348</v>
      </c>
      <c r="N191" s="89">
        <f>IFERROR(VLOOKUP($D191,$Y$9:$AB$10,4,FALSE)/IF($D191="Inhalation",IF($J191="Central Tendency",SUMIFS('Inhalation Exposure_8-hr'!$N$6:$N$411,'Inhalation Exposure_8-hr'!$B$6:$B$411,$B191,'Inhalation Exposure_8-hr'!$D$6:$D$411,$C191),SUMIFS('Inhalation Exposure_8-hr'!$O$6:$O$411,'Inhalation Exposure_8-hr'!$B$6:$B$411,$B191,'Inhalation Exposure_8-hr'!$D$6:$D$411,$C191)),IF($J191="Central Tendency",VLOOKUP($B191,'Dermal Exposure'!$A$6:$L$19,11,FALSE),VLOOKUP($B191,'Dermal Exposure'!$A$6:$L$19,6,FALSE))),"--")</f>
        <v>2.2483594023490578</v>
      </c>
      <c r="O191" s="91" t="str">
        <f>IFERROR(K191*T191, "--")</f>
        <v>--</v>
      </c>
      <c r="P191" s="91">
        <f>IFERROR(L191*U191, "--")</f>
        <v>710.23737732722964</v>
      </c>
      <c r="Q191" s="91">
        <f>IFERROR(M191*V191, "--")</f>
        <v>104.99810409475674</v>
      </c>
      <c r="R191" s="91">
        <f>IFERROR(N191*W191, "--")</f>
        <v>112.4179701174529</v>
      </c>
      <c r="T191" s="109">
        <v>10</v>
      </c>
      <c r="U191" s="110">
        <v>10</v>
      </c>
      <c r="V191" s="110">
        <v>50</v>
      </c>
      <c r="W191" s="111">
        <v>50</v>
      </c>
    </row>
    <row r="192" spans="2:23" ht="15" thickBot="1" x14ac:dyDescent="0.4">
      <c r="B192" s="82" t="s">
        <v>179</v>
      </c>
      <c r="C192" s="83" t="s">
        <v>68</v>
      </c>
      <c r="D192" s="83" t="s">
        <v>107</v>
      </c>
      <c r="E192" s="98"/>
      <c r="F192" s="122"/>
      <c r="G192" s="112"/>
      <c r="H192" s="100"/>
      <c r="I192" s="113"/>
      <c r="J192" s="113"/>
      <c r="K192" s="103"/>
      <c r="L192" s="103"/>
      <c r="M192" s="103"/>
      <c r="N192" s="104"/>
      <c r="O192" s="105" t="str">
        <f>CONCATENATE("(APF ",T191,")")</f>
        <v>(APF 10)</v>
      </c>
      <c r="P192" s="105" t="str">
        <f>CONCATENATE("(APF ",U191,")")</f>
        <v>(APF 10)</v>
      </c>
      <c r="Q192" s="105" t="str">
        <f>CONCATENATE("(APF ",V191,")")</f>
        <v>(APF 50)</v>
      </c>
      <c r="R192" s="105" t="str">
        <f>CONCATENATE("(APF ",W191,")")</f>
        <v>(APF 50)</v>
      </c>
      <c r="T192" s="114" t="s">
        <v>111</v>
      </c>
      <c r="U192" s="115" t="s">
        <v>111</v>
      </c>
      <c r="V192" s="115" t="s">
        <v>111</v>
      </c>
      <c r="W192" s="116" t="s">
        <v>111</v>
      </c>
    </row>
    <row r="193" spans="2:23" ht="15.75" customHeight="1" thickBot="1" x14ac:dyDescent="0.4">
      <c r="B193" s="82" t="s">
        <v>180</v>
      </c>
      <c r="C193" s="83" t="s">
        <v>68</v>
      </c>
      <c r="D193" s="83" t="s">
        <v>107</v>
      </c>
      <c r="E193" s="98"/>
      <c r="F193" s="122"/>
      <c r="G193" s="85" t="s">
        <v>507</v>
      </c>
      <c r="H193" s="100"/>
      <c r="I193" s="86" t="s">
        <v>110</v>
      </c>
      <c r="J193" s="86" t="s">
        <v>71</v>
      </c>
      <c r="K193" s="88" t="str">
        <f>IFERROR(VLOOKUP($D193,$Y$9:$AB$10,2,FALSE)/IF($D193="Inhalation",IF($J193="Central Tendency",SUMIFS('Inhalation Exposure_Short-Term'!$F$7:$F$397,'Inhalation Exposure_Short-Term'!$B$7:$B$397,$B193,'Inhalation Exposure_Short-Term'!$D$7:$D$397,$C193),SUMIFS('Inhalation Exposure_Short-Term'!$G$7:$G$397,'Inhalation Exposure_Short-Term'!$B$7:$B$397,$B193,'Inhalation Exposure_Short-Term'!$D$7:$D$397,$C193)),IF($J193="Central Tendency",VLOOKUP($B193,'Dermal Exposure'!$A$6:$L$19,9,FALSE),VLOOKUP($B193,'Dermal Exposure'!$A$6:$L$19,4,FALSE))),"--")</f>
        <v>--</v>
      </c>
      <c r="L193" s="88">
        <f>IFERROR(VLOOKUP($D193,$Y$9:$AB$10,2,FALSE)/IF($D193="Inhalation",IF($J193="Central Tendency",SUMIFS('Inhalation Exposure_8-hr'!$H$6:$H$411,'Inhalation Exposure_8-hr'!$B$6:$B$411,$B193,'Inhalation Exposure_8-hr'!$D$6:$D$411,$C193),SUMIFS('Inhalation Exposure_8-hr'!$I$6:$I$411,'Inhalation Exposure_8-hr'!$B$6:$B$411,$B193,'Inhalation Exposure_8-hr'!$D$6:$D$411,$C193)),IF($J193="Central Tendency",VLOOKUP($B193,'Dermal Exposure'!$A$6:$L$19,9,FALSE),VLOOKUP($B193,'Dermal Exposure'!$A$6:$L$19,4,FALSE))),"--")</f>
        <v>356.5557966121176</v>
      </c>
      <c r="M193" s="88">
        <f>IFERROR(VLOOKUP($D193,$Y$9:$AB$10,3,FALSE)/IF($D193="Inhalation",IF($J193="Central Tendency",SUMIFS('Inhalation Exposure_8-hr'!$L$6:$L$411,'Inhalation Exposure_8-hr'!$B$6:$B$411,$B193,'Inhalation Exposure_8-hr'!$D$6:$D$411,$C193),SUMIFS('Inhalation Exposure_8-hr'!$M$6:$M$411,'Inhalation Exposure_8-hr'!$B$6:$B$411,$B193,'Inhalation Exposure_8-hr'!$D$6:$D$411,$C193)),IF($J193="Central Tendency",VLOOKUP($B193,'Dermal Exposure'!$A$6:$L$19,10,FALSE),VLOOKUP($B193,'Dermal Exposure'!$A$6:$L$19,5,FALSE))),"--")</f>
        <v>10.542301445512145</v>
      </c>
      <c r="N193" s="89">
        <f>IFERROR(VLOOKUP($D193,$Y$9:$AB$10,4,FALSE)/IF($D193="Inhalation",IF($J193="Central Tendency",SUMIFS('Inhalation Exposure_8-hr'!$N$6:$N$411,'Inhalation Exposure_8-hr'!$B$6:$B$411,$B193,'Inhalation Exposure_8-hr'!$D$6:$D$411,$C193),SUMIFS('Inhalation Exposure_8-hr'!$O$6:$O$411,'Inhalation Exposure_8-hr'!$B$6:$B$411,$B193,'Inhalation Exposure_8-hr'!$D$6:$D$411,$C193)),IF($J193="Central Tendency",VLOOKUP($B193,'Dermal Exposure'!$A$6:$L$19,11,FALSE),VLOOKUP($B193,'Dermal Exposure'!$A$6:$L$19,6,FALSE))),"--")</f>
        <v>11.28729074766167</v>
      </c>
      <c r="O193" s="91" t="str">
        <f>IFERROR(K193*T193, "--")</f>
        <v>--</v>
      </c>
      <c r="P193" s="91">
        <f>IFERROR(L193*U193, "--")</f>
        <v>3565.5579661211759</v>
      </c>
      <c r="Q193" s="91">
        <f>IFERROR(M193*V193, "--")</f>
        <v>105.42301445512145</v>
      </c>
      <c r="R193" s="91">
        <f>IFERROR(N193*W193, "--")</f>
        <v>112.8729074766167</v>
      </c>
      <c r="T193" s="92">
        <v>10</v>
      </c>
      <c r="U193" s="93">
        <v>10</v>
      </c>
      <c r="V193" s="93">
        <v>10</v>
      </c>
      <c r="W193" s="94">
        <v>10</v>
      </c>
    </row>
    <row r="194" spans="2:23" ht="15" thickBot="1" x14ac:dyDescent="0.4">
      <c r="B194" s="82" t="s">
        <v>180</v>
      </c>
      <c r="C194" s="83" t="s">
        <v>68</v>
      </c>
      <c r="D194" s="83" t="s">
        <v>107</v>
      </c>
      <c r="E194" s="98"/>
      <c r="F194" s="122"/>
      <c r="G194" s="99"/>
      <c r="H194" s="100"/>
      <c r="I194" s="101"/>
      <c r="J194" s="113"/>
      <c r="K194" s="103"/>
      <c r="L194" s="103"/>
      <c r="M194" s="103"/>
      <c r="N194" s="104"/>
      <c r="O194" s="105" t="str">
        <f>CONCATENATE("(APF ",T193,")")</f>
        <v>(APF 10)</v>
      </c>
      <c r="P194" s="105" t="str">
        <f>CONCATENATE("(APF ",U193,")")</f>
        <v>(APF 10)</v>
      </c>
      <c r="Q194" s="105" t="str">
        <f>CONCATENATE("(APF ",V193,")")</f>
        <v>(APF 10)</v>
      </c>
      <c r="R194" s="105" t="str">
        <f>CONCATENATE("(APF ",W193,")")</f>
        <v>(APF 10)</v>
      </c>
      <c r="T194" s="106" t="s">
        <v>111</v>
      </c>
      <c r="U194" s="107" t="s">
        <v>111</v>
      </c>
      <c r="V194" s="107" t="s">
        <v>111</v>
      </c>
      <c r="W194" s="108" t="s">
        <v>111</v>
      </c>
    </row>
    <row r="195" spans="2:23" ht="15" thickBot="1" x14ac:dyDescent="0.4">
      <c r="B195" s="82" t="s">
        <v>180</v>
      </c>
      <c r="C195" s="83" t="s">
        <v>68</v>
      </c>
      <c r="D195" s="83" t="s">
        <v>107</v>
      </c>
      <c r="E195" s="98"/>
      <c r="F195" s="122"/>
      <c r="G195" s="99"/>
      <c r="H195" s="100"/>
      <c r="I195" s="101"/>
      <c r="J195" s="86" t="s">
        <v>112</v>
      </c>
      <c r="K195" s="88" t="str">
        <f>IFERROR(VLOOKUP($D195,$Y$9:$AB$10,2,FALSE)/IF($D195="Inhalation",IF($J195="Central Tendency",SUMIFS('Inhalation Exposure_Short-Term'!$F$7:$F$397,'Inhalation Exposure_Short-Term'!$B$7:$B$397,$B195,'Inhalation Exposure_Short-Term'!$D$7:$D$397,$C195),SUMIFS('Inhalation Exposure_Short-Term'!$G$7:$G$397,'Inhalation Exposure_Short-Term'!$B$7:$B$397,$B195,'Inhalation Exposure_Short-Term'!$D$7:$D$397,$C195)),IF($J195="Central Tendency",VLOOKUP($B195,'Dermal Exposure'!$A$6:$L$19,9,FALSE),VLOOKUP($B195,'Dermal Exposure'!$A$6:$L$19,4,FALSE))),"--")</f>
        <v>--</v>
      </c>
      <c r="L195" s="88">
        <f>IFERROR(VLOOKUP($D195,$Y$9:$AB$10,2,FALSE)/IF($D195="Inhalation",IF($J195="Central Tendency",SUMIFS('Inhalation Exposure_8-hr'!$H$6:$H$411,'Inhalation Exposure_8-hr'!$B$6:$B$411,$B195,'Inhalation Exposure_8-hr'!$D$6:$D$411,$C195),SUMIFS('Inhalation Exposure_8-hr'!$I$6:$I$411,'Inhalation Exposure_8-hr'!$B$6:$B$411,$B195,'Inhalation Exposure_8-hr'!$D$6:$D$411,$C195)),IF($J195="Central Tendency",VLOOKUP($B195,'Dermal Exposure'!$A$6:$L$19,9,FALSE),VLOOKUP($B195,'Dermal Exposure'!$A$6:$L$19,4,FALSE))),"--")</f>
        <v>116.91341469573523</v>
      </c>
      <c r="M195" s="88">
        <f>IFERROR(VLOOKUP($D195,$Y$9:$AB$10,3,FALSE)/IF($D195="Inhalation",IF($J195="Central Tendency",SUMIFS('Inhalation Exposure_8-hr'!$L$6:$L$411,'Inhalation Exposure_8-hr'!$B$6:$B$411,$B195,'Inhalation Exposure_8-hr'!$D$6:$D$411,$C195),SUMIFS('Inhalation Exposure_8-hr'!$M$6:$M$411,'Inhalation Exposure_8-hr'!$B$6:$B$411,$B195,'Inhalation Exposure_8-hr'!$D$6:$D$411,$C195)),IF($J195="Central Tendency",VLOOKUP($B195,'Dermal Exposure'!$A$6:$L$19,10,FALSE),VLOOKUP($B195,'Dermal Exposure'!$A$6:$L$19,5,FALSE))),"--")</f>
        <v>3.4567842465549261</v>
      </c>
      <c r="N195" s="89">
        <f>IFERROR(VLOOKUP($D195,$Y$9:$AB$10,4,FALSE)/IF($D195="Inhalation",IF($J195="Central Tendency",SUMIFS('Inhalation Exposure_8-hr'!$N$6:$N$411,'Inhalation Exposure_8-hr'!$B$6:$B$411,$B195,'Inhalation Exposure_8-hr'!$D$6:$D$411,$C195),SUMIFS('Inhalation Exposure_8-hr'!$O$6:$O$411,'Inhalation Exposure_8-hr'!$B$6:$B$411,$B195,'Inhalation Exposure_8-hr'!$D$6:$D$411,$C195)),IF($J195="Central Tendency",VLOOKUP($B195,'Dermal Exposure'!$A$6:$L$19,11,FALSE),VLOOKUP($B195,'Dermal Exposure'!$A$6:$L$19,6,FALSE))),"--")</f>
        <v>3.7010636666448069</v>
      </c>
      <c r="O195" s="91" t="str">
        <f>IFERROR(K195*T195, "--")</f>
        <v>--</v>
      </c>
      <c r="P195" s="91">
        <f>IFERROR(L195*U195, "--")</f>
        <v>1169.1341469573522</v>
      </c>
      <c r="Q195" s="91">
        <f>IFERROR(M195*V195, "--")</f>
        <v>172.83921232774631</v>
      </c>
      <c r="R195" s="91">
        <f>IFERROR(N195*W195, "--")</f>
        <v>185.05318333224034</v>
      </c>
      <c r="T195" s="109">
        <v>10</v>
      </c>
      <c r="U195" s="110">
        <v>10</v>
      </c>
      <c r="V195" s="110">
        <v>50</v>
      </c>
      <c r="W195" s="111">
        <v>50</v>
      </c>
    </row>
    <row r="196" spans="2:23" ht="15" thickBot="1" x14ac:dyDescent="0.4">
      <c r="B196" s="82" t="s">
        <v>180</v>
      </c>
      <c r="C196" s="83" t="s">
        <v>68</v>
      </c>
      <c r="D196" s="83" t="s">
        <v>107</v>
      </c>
      <c r="E196" s="98"/>
      <c r="F196" s="122"/>
      <c r="G196" s="112"/>
      <c r="H196" s="118"/>
      <c r="I196" s="113"/>
      <c r="J196" s="113"/>
      <c r="K196" s="103"/>
      <c r="L196" s="103"/>
      <c r="M196" s="103"/>
      <c r="N196" s="104"/>
      <c r="O196" s="105" t="str">
        <f>CONCATENATE("(APF ",T195,")")</f>
        <v>(APF 10)</v>
      </c>
      <c r="P196" s="105" t="str">
        <f>CONCATENATE("(APF ",U195,")")</f>
        <v>(APF 10)</v>
      </c>
      <c r="Q196" s="105" t="str">
        <f>CONCATENATE("(APF ",V195,")")</f>
        <v>(APF 50)</v>
      </c>
      <c r="R196" s="105" t="str">
        <f>CONCATENATE("(APF ",W195,")")</f>
        <v>(APF 50)</v>
      </c>
      <c r="T196" s="114" t="s">
        <v>111</v>
      </c>
      <c r="U196" s="115" t="s">
        <v>111</v>
      </c>
      <c r="V196" s="115" t="s">
        <v>111</v>
      </c>
      <c r="W196" s="116" t="s">
        <v>111</v>
      </c>
    </row>
    <row r="197" spans="2:23" ht="15.75" customHeight="1" thickBot="1" x14ac:dyDescent="0.4">
      <c r="B197" s="82" t="s">
        <v>504</v>
      </c>
      <c r="C197" s="83" t="s">
        <v>80</v>
      </c>
      <c r="D197" s="83" t="s">
        <v>107</v>
      </c>
      <c r="E197" s="98"/>
      <c r="F197" s="122"/>
      <c r="G197" s="85" t="s">
        <v>509</v>
      </c>
      <c r="H197" s="86" t="s">
        <v>80</v>
      </c>
      <c r="I197" s="86" t="s">
        <v>110</v>
      </c>
      <c r="J197" s="86" t="s">
        <v>71</v>
      </c>
      <c r="K197" s="88">
        <f>IFERROR(VLOOKUP($D197,$Y$9:$AB$10,2,FALSE)/IF($D197="Inhalation",IF($J197="Central Tendency",SUMIFS('Inhalation Exposure_Short-Term'!$F$7:$F$397,'Inhalation Exposure_Short-Term'!$B$7:$B$397,$B197,'Inhalation Exposure_Short-Term'!$D$7:$D$397,$C197),SUMIFS('Inhalation Exposure_Short-Term'!$G$7:$G$397,'Inhalation Exposure_Short-Term'!$B$7:$B$397,$B197,'Inhalation Exposure_Short-Term'!$D$7:$D$397,$C197)),IF($J197="Central Tendency",VLOOKUP($B197,'Dermal Exposure'!$A$6:$L$19,9,FALSE),VLOOKUP($B197,'Dermal Exposure'!$A$6:$L$19,4,FALSE))),"--")</f>
        <v>10182.79309996391</v>
      </c>
      <c r="L197" s="88">
        <f>IFERROR(VLOOKUP($D197,$Y$9:$AB$10,2,FALSE)/IF($D197="Inhalation",IF($J197="Central Tendency",SUMIFS('Inhalation Exposure_8-hr'!$H$6:$H$411,'Inhalation Exposure_8-hr'!$B$6:$B$411,$B197,'Inhalation Exposure_8-hr'!$D$6:$D$411,$C197),SUMIFS('Inhalation Exposure_8-hr'!$I$6:$I$411,'Inhalation Exposure_8-hr'!$B$6:$B$411,$B197,'Inhalation Exposure_8-hr'!$D$6:$D$411,$C197)),IF($J197="Central Tendency",VLOOKUP($B197,'Dermal Exposure'!$A$6:$L$19,9,FALSE),VLOOKUP($B197,'Dermal Exposure'!$A$6:$L$19,4,FALSE))),"--")</f>
        <v>329.55826042983301</v>
      </c>
      <c r="M197" s="88">
        <f>IFERROR(VLOOKUP($D197,$Y$9:$AB$10,3,FALSE)/IF($D197="Inhalation",IF($J197="Central Tendency",SUMIFS('Inhalation Exposure_8-hr'!$L$6:$L$411,'Inhalation Exposure_8-hr'!$B$6:$B$411,$B197,'Inhalation Exposure_8-hr'!$D$6:$D$411,$C197),SUMIFS('Inhalation Exposure_8-hr'!$M$6:$M$411,'Inhalation Exposure_8-hr'!$B$6:$B$411,$B197,'Inhalation Exposure_8-hr'!$D$6:$D$411,$C197)),IF($J197="Central Tendency",VLOOKUP($B197,'Dermal Exposure'!$A$6:$L$19,10,FALSE),VLOOKUP($B197,'Dermal Exposure'!$A$6:$L$19,5,FALSE))),"--")</f>
        <v>9.7440640660498019</v>
      </c>
      <c r="N197" s="89">
        <f>IFERROR(VLOOKUP($D197,$Y$9:$AB$10,4,FALSE)/IF($D197="Inhalation",IF($J197="Central Tendency",SUMIFS('Inhalation Exposure_8-hr'!$N$6:$N$411,'Inhalation Exposure_8-hr'!$B$6:$B$411,$B197,'Inhalation Exposure_8-hr'!$D$6:$D$411,$C197),SUMIFS('Inhalation Exposure_8-hr'!$O$6:$O$411,'Inhalation Exposure_8-hr'!$B$6:$B$411,$B197,'Inhalation Exposure_8-hr'!$D$6:$D$411,$C197)),IF($J197="Central Tendency",VLOOKUP($B197,'Dermal Exposure'!$A$6:$L$19,11,FALSE),VLOOKUP($B197,'Dermal Exposure'!$A$6:$L$19,6,FALSE))),"--")</f>
        <v>10.432644593383987</v>
      </c>
      <c r="O197" s="91">
        <f>IFERROR(K197*T197, "--")</f>
        <v>0</v>
      </c>
      <c r="P197" s="91">
        <f>IFERROR(L197*U197, "--")</f>
        <v>0</v>
      </c>
      <c r="Q197" s="91">
        <f>IFERROR(M197*V197, "--")</f>
        <v>0</v>
      </c>
      <c r="R197" s="91">
        <f>IFERROR(N197*W197, "--")</f>
        <v>0</v>
      </c>
      <c r="T197" s="106"/>
      <c r="U197" s="107"/>
      <c r="V197" s="107"/>
      <c r="W197" s="108"/>
    </row>
    <row r="198" spans="2:23" ht="15" thickBot="1" x14ac:dyDescent="0.4">
      <c r="B198" s="82" t="s">
        <v>504</v>
      </c>
      <c r="C198" s="83" t="s">
        <v>80</v>
      </c>
      <c r="D198" s="83" t="s">
        <v>107</v>
      </c>
      <c r="E198" s="98"/>
      <c r="F198" s="122"/>
      <c r="G198" s="99"/>
      <c r="H198" s="101"/>
      <c r="I198" s="101"/>
      <c r="J198" s="113"/>
      <c r="K198" s="103"/>
      <c r="L198" s="103"/>
      <c r="M198" s="103"/>
      <c r="N198" s="104"/>
      <c r="O198" s="105" t="str">
        <f>CONCATENATE("(APF ",T197,")")</f>
        <v>(APF )</v>
      </c>
      <c r="P198" s="105" t="str">
        <f>CONCATENATE("(APF ",U197,")")</f>
        <v>(APF )</v>
      </c>
      <c r="Q198" s="105" t="str">
        <f>CONCATENATE("(APF ",V197,")")</f>
        <v>(APF )</v>
      </c>
      <c r="R198" s="105" t="str">
        <f>CONCATENATE("(APF ",W197,")")</f>
        <v>(APF )</v>
      </c>
      <c r="T198" s="106"/>
      <c r="U198" s="107"/>
      <c r="V198" s="107"/>
      <c r="W198" s="108"/>
    </row>
    <row r="199" spans="2:23" ht="15" thickBot="1" x14ac:dyDescent="0.4">
      <c r="B199" s="82" t="s">
        <v>504</v>
      </c>
      <c r="C199" s="83" t="s">
        <v>80</v>
      </c>
      <c r="D199" s="83" t="s">
        <v>107</v>
      </c>
      <c r="E199" s="98"/>
      <c r="F199" s="122"/>
      <c r="G199" s="99"/>
      <c r="H199" s="101"/>
      <c r="I199" s="101"/>
      <c r="J199" s="86" t="s">
        <v>112</v>
      </c>
      <c r="K199" s="88">
        <f>IFERROR(VLOOKUP($D199,$Y$9:$AB$10,2,FALSE)/IF($D199="Inhalation",IF($J199="Central Tendency",SUMIFS('Inhalation Exposure_Short-Term'!$F$7:$F$397,'Inhalation Exposure_Short-Term'!$B$7:$B$397,$B199,'Inhalation Exposure_Short-Term'!$D$7:$D$397,$C199),SUMIFS('Inhalation Exposure_Short-Term'!$G$7:$G$397,'Inhalation Exposure_Short-Term'!$B$7:$B$397,$B199,'Inhalation Exposure_Short-Term'!$D$7:$D$397,$C199)),IF($J199="Central Tendency",VLOOKUP($B199,'Dermal Exposure'!$A$6:$L$19,9,FALSE),VLOOKUP($B199,'Dermal Exposure'!$A$6:$L$19,4,FALSE))),"--")</f>
        <v>1547.2492393635596</v>
      </c>
      <c r="L199" s="88">
        <f>IFERROR(VLOOKUP($D199,$Y$9:$AB$10,2,FALSE)/IF($D199="Inhalation",IF($J199="Central Tendency",SUMIFS('Inhalation Exposure_8-hr'!$H$6:$H$411,'Inhalation Exposure_8-hr'!$B$6:$B$411,$B199,'Inhalation Exposure_8-hr'!$D$6:$D$411,$C199),SUMIFS('Inhalation Exposure_8-hr'!$I$6:$I$411,'Inhalation Exposure_8-hr'!$B$6:$B$411,$B199,'Inhalation Exposure_8-hr'!$D$6:$D$411,$C199)),IF($J199="Central Tendency",VLOOKUP($B199,'Dermal Exposure'!$A$6:$L$19,9,FALSE),VLOOKUP($B199,'Dermal Exposure'!$A$6:$L$19,4,FALSE))),"--")</f>
        <v>329.55826042983301</v>
      </c>
      <c r="M199" s="88">
        <f>IFERROR(VLOOKUP($D199,$Y$9:$AB$10,3,FALSE)/IF($D199="Inhalation",IF($J199="Central Tendency",SUMIFS('Inhalation Exposure_8-hr'!$L$6:$L$411,'Inhalation Exposure_8-hr'!$B$6:$B$411,$B199,'Inhalation Exposure_8-hr'!$D$6:$D$411,$C199),SUMIFS('Inhalation Exposure_8-hr'!$M$6:$M$411,'Inhalation Exposure_8-hr'!$B$6:$B$411,$B199,'Inhalation Exposure_8-hr'!$D$6:$D$411,$C199)),IF($J199="Central Tendency",VLOOKUP($B199,'Dermal Exposure'!$A$6:$L$19,10,FALSE),VLOOKUP($B199,'Dermal Exposure'!$A$6:$L$19,5,FALSE))),"--")</f>
        <v>9.7440640660498019</v>
      </c>
      <c r="N199" s="89">
        <f>IFERROR(VLOOKUP($D199,$Y$9:$AB$10,4,FALSE)/IF($D199="Inhalation",IF($J199="Central Tendency",SUMIFS('Inhalation Exposure_8-hr'!$N$6:$N$411,'Inhalation Exposure_8-hr'!$B$6:$B$411,$B199,'Inhalation Exposure_8-hr'!$D$6:$D$411,$C199),SUMIFS('Inhalation Exposure_8-hr'!$O$6:$O$411,'Inhalation Exposure_8-hr'!$B$6:$B$411,$B199,'Inhalation Exposure_8-hr'!$D$6:$D$411,$C199)),IF($J199="Central Tendency",VLOOKUP($B199,'Dermal Exposure'!$A$6:$L$19,11,FALSE),VLOOKUP($B199,'Dermal Exposure'!$A$6:$L$19,6,FALSE))),"--")</f>
        <v>10.432644593383987</v>
      </c>
      <c r="O199" s="91">
        <f>IFERROR(K199*T199, "--")</f>
        <v>0</v>
      </c>
      <c r="P199" s="91">
        <f>IFERROR(L199*U199, "--")</f>
        <v>0</v>
      </c>
      <c r="Q199" s="91">
        <f>IFERROR(M199*V199, "--")</f>
        <v>0</v>
      </c>
      <c r="R199" s="91">
        <f>IFERROR(N199*W199, "--")</f>
        <v>0</v>
      </c>
      <c r="T199" s="106"/>
      <c r="U199" s="107"/>
      <c r="V199" s="107"/>
      <c r="W199" s="108"/>
    </row>
    <row r="200" spans="2:23" ht="15" thickBot="1" x14ac:dyDescent="0.4">
      <c r="B200" s="82" t="s">
        <v>504</v>
      </c>
      <c r="C200" s="83" t="s">
        <v>80</v>
      </c>
      <c r="D200" s="83" t="s">
        <v>107</v>
      </c>
      <c r="E200" s="98"/>
      <c r="F200" s="122"/>
      <c r="G200" s="112"/>
      <c r="H200" s="113"/>
      <c r="I200" s="113"/>
      <c r="J200" s="113"/>
      <c r="K200" s="103"/>
      <c r="L200" s="103"/>
      <c r="M200" s="103"/>
      <c r="N200" s="104"/>
      <c r="O200" s="105" t="str">
        <f>CONCATENATE("(APF ",T199,")")</f>
        <v>(APF )</v>
      </c>
      <c r="P200" s="105" t="str">
        <f>CONCATENATE("(APF ",U199,")")</f>
        <v>(APF )</v>
      </c>
      <c r="Q200" s="105" t="str">
        <f>CONCATENATE("(APF ",V199,")")</f>
        <v>(APF )</v>
      </c>
      <c r="R200" s="105" t="str">
        <f>CONCATENATE("(APF ",W199,")")</f>
        <v>(APF )</v>
      </c>
      <c r="T200" s="106"/>
      <c r="U200" s="107"/>
      <c r="V200" s="107"/>
      <c r="W200" s="108"/>
    </row>
    <row r="201" spans="2:23" ht="15.75" customHeight="1" thickBot="1" x14ac:dyDescent="0.4">
      <c r="B201" s="82" t="s">
        <v>503</v>
      </c>
      <c r="C201" s="83" t="s">
        <v>68</v>
      </c>
      <c r="D201" s="83" t="s">
        <v>107</v>
      </c>
      <c r="E201" s="98"/>
      <c r="F201" s="86" t="s">
        <v>524</v>
      </c>
      <c r="G201" s="85" t="s">
        <v>508</v>
      </c>
      <c r="H201" s="86" t="s">
        <v>68</v>
      </c>
      <c r="I201" s="86" t="s">
        <v>110</v>
      </c>
      <c r="J201" s="86" t="s">
        <v>71</v>
      </c>
      <c r="K201" s="88" t="str">
        <f>IFERROR(VLOOKUP($D201,$Y$9:$AB$10,2,FALSE)/IF($D201="Inhalation",IF($J201="Central Tendency",SUMIFS('Inhalation Exposure_Short-Term'!$F$7:$F$397,'Inhalation Exposure_Short-Term'!$B$7:$B$397,$B201,'Inhalation Exposure_Short-Term'!$D$7:$D$397,$C201),SUMIFS('Inhalation Exposure_Short-Term'!$G$7:$G$397,'Inhalation Exposure_Short-Term'!$B$7:$B$397,$B201,'Inhalation Exposure_Short-Term'!$D$7:$D$397,$C201)),IF($J201="Central Tendency",VLOOKUP($B201,'Dermal Exposure'!$A$6:$L$19,9,FALSE),VLOOKUP($B201,'Dermal Exposure'!$A$6:$L$19,4,FALSE))),"--")</f>
        <v>--</v>
      </c>
      <c r="L201" s="88">
        <f>IFERROR(VLOOKUP($D201,$Y$9:$AB$10,2,FALSE)/IF($D201="Inhalation",IF($J201="Central Tendency",SUMIFS('Inhalation Exposure_8-hr'!$H$6:$H$411,'Inhalation Exposure_8-hr'!$B$6:$B$411,$B201,'Inhalation Exposure_8-hr'!$D$6:$D$411,$C201),SUMIFS('Inhalation Exposure_8-hr'!$I$6:$I$411,'Inhalation Exposure_8-hr'!$B$6:$B$411,$B201,'Inhalation Exposure_8-hr'!$D$6:$D$411,$C201)),IF($J201="Central Tendency",VLOOKUP($B201,'Dermal Exposure'!$A$6:$L$19,9,FALSE),VLOOKUP($B201,'Dermal Exposure'!$A$6:$L$19,4,FALSE))),"--")</f>
        <v>329.55826042983301</v>
      </c>
      <c r="M201" s="88">
        <f>IFERROR(VLOOKUP($D201,$Y$9:$AB$10,3,FALSE)/IF($D201="Inhalation",IF($J201="Central Tendency",SUMIFS('Inhalation Exposure_8-hr'!$L$6:$L$411,'Inhalation Exposure_8-hr'!$B$6:$B$411,$B201,'Inhalation Exposure_8-hr'!$D$6:$D$411,$C201),SUMIFS('Inhalation Exposure_8-hr'!$M$6:$M$411,'Inhalation Exposure_8-hr'!$B$6:$B$411,$B201,'Inhalation Exposure_8-hr'!$D$6:$D$411,$C201)),IF($J201="Central Tendency",VLOOKUP($B201,'Dermal Exposure'!$A$6:$L$19,10,FALSE),VLOOKUP($B201,'Dermal Exposure'!$A$6:$L$19,5,FALSE))),"--")</f>
        <v>9.7440640660498019</v>
      </c>
      <c r="N201" s="89">
        <f>IFERROR(VLOOKUP($D201,$Y$9:$AB$10,4,FALSE)/IF($D201="Inhalation",IF($J201="Central Tendency",SUMIFS('Inhalation Exposure_8-hr'!$N$6:$N$411,'Inhalation Exposure_8-hr'!$B$6:$B$411,$B201,'Inhalation Exposure_8-hr'!$D$6:$D$411,$C201),SUMIFS('Inhalation Exposure_8-hr'!$O$6:$O$411,'Inhalation Exposure_8-hr'!$B$6:$B$411,$B201,'Inhalation Exposure_8-hr'!$D$6:$D$411,$C201)),IF($J201="Central Tendency",VLOOKUP($B201,'Dermal Exposure'!$A$6:$L$19,11,FALSE),VLOOKUP($B201,'Dermal Exposure'!$A$6:$L$19,6,FALSE))),"--")</f>
        <v>10.432644593383987</v>
      </c>
      <c r="O201" s="91" t="str">
        <f>IFERROR(K201*T201, "--")</f>
        <v>--</v>
      </c>
      <c r="P201" s="91">
        <f>IFERROR(L201*U201, "--")</f>
        <v>3295.5826042983299</v>
      </c>
      <c r="Q201" s="91">
        <f>IFERROR(M201*V201, "--")</f>
        <v>97.440640660498019</v>
      </c>
      <c r="R201" s="91">
        <f>IFERROR(N201*W201, "--")</f>
        <v>104.32644593383986</v>
      </c>
      <c r="T201" s="92">
        <v>10</v>
      </c>
      <c r="U201" s="93">
        <v>10</v>
      </c>
      <c r="V201" s="93">
        <v>10</v>
      </c>
      <c r="W201" s="94">
        <v>10</v>
      </c>
    </row>
    <row r="202" spans="2:23" ht="15" thickBot="1" x14ac:dyDescent="0.4">
      <c r="B202" s="82" t="s">
        <v>503</v>
      </c>
      <c r="C202" s="83" t="s">
        <v>68</v>
      </c>
      <c r="D202" s="83" t="s">
        <v>107</v>
      </c>
      <c r="E202" s="98"/>
      <c r="F202" s="101"/>
      <c r="G202" s="99"/>
      <c r="H202" s="100"/>
      <c r="I202" s="101"/>
      <c r="J202" s="113"/>
      <c r="K202" s="103"/>
      <c r="L202" s="103"/>
      <c r="M202" s="103"/>
      <c r="N202" s="104"/>
      <c r="O202" s="105" t="str">
        <f>CONCATENATE("(APF ",T201,")")</f>
        <v>(APF 10)</v>
      </c>
      <c r="P202" s="105" t="str">
        <f>CONCATENATE("(APF ",U201,")")</f>
        <v>(APF 10)</v>
      </c>
      <c r="Q202" s="105" t="str">
        <f>CONCATENATE("(APF ",V201,")")</f>
        <v>(APF 10)</v>
      </c>
      <c r="R202" s="105" t="str">
        <f>CONCATENATE("(APF ",W201,")")</f>
        <v>(APF 10)</v>
      </c>
      <c r="T202" s="106" t="s">
        <v>111</v>
      </c>
      <c r="U202" s="107" t="s">
        <v>111</v>
      </c>
      <c r="V202" s="107" t="s">
        <v>111</v>
      </c>
      <c r="W202" s="108" t="s">
        <v>111</v>
      </c>
    </row>
    <row r="203" spans="2:23" ht="15" thickBot="1" x14ac:dyDescent="0.4">
      <c r="B203" s="82" t="s">
        <v>503</v>
      </c>
      <c r="C203" s="83" t="s">
        <v>68</v>
      </c>
      <c r="D203" s="83" t="s">
        <v>107</v>
      </c>
      <c r="E203" s="98"/>
      <c r="F203" s="101"/>
      <c r="G203" s="99"/>
      <c r="H203" s="100"/>
      <c r="I203" s="101"/>
      <c r="J203" s="86" t="s">
        <v>112</v>
      </c>
      <c r="K203" s="88" t="str">
        <f>IFERROR(VLOOKUP($D203,$Y$9:$AB$10,2,FALSE)/IF($D203="Inhalation",IF($J203="Central Tendency",SUMIFS('Inhalation Exposure_Short-Term'!$F$7:$F$397,'Inhalation Exposure_Short-Term'!$B$7:$B$397,$B203,'Inhalation Exposure_Short-Term'!$D$7:$D$397,$C203),SUMIFS('Inhalation Exposure_Short-Term'!$G$7:$G$397,'Inhalation Exposure_Short-Term'!$B$7:$B$397,$B203,'Inhalation Exposure_Short-Term'!$D$7:$D$397,$C203)),IF($J203="Central Tendency",VLOOKUP($B203,'Dermal Exposure'!$A$6:$L$19,9,FALSE),VLOOKUP($B203,'Dermal Exposure'!$A$6:$L$19,4,FALSE))),"--")</f>
        <v>--</v>
      </c>
      <c r="L203" s="88">
        <f>IFERROR(VLOOKUP($D203,$Y$9:$AB$10,2,FALSE)/IF($D203="Inhalation",IF($J203="Central Tendency",SUMIFS('Inhalation Exposure_8-hr'!$H$6:$H$411,'Inhalation Exposure_8-hr'!$B$6:$B$411,$B203,'Inhalation Exposure_8-hr'!$D$6:$D$411,$C203),SUMIFS('Inhalation Exposure_8-hr'!$I$6:$I$411,'Inhalation Exposure_8-hr'!$B$6:$B$411,$B203,'Inhalation Exposure_8-hr'!$D$6:$D$411,$C203)),IF($J203="Central Tendency",VLOOKUP($B203,'Dermal Exposure'!$A$6:$L$19,9,FALSE),VLOOKUP($B203,'Dermal Exposure'!$A$6:$L$19,4,FALSE))),"--")</f>
        <v>90.305304550205975</v>
      </c>
      <c r="M203" s="88">
        <f>IFERROR(VLOOKUP($D203,$Y$9:$AB$10,3,FALSE)/IF($D203="Inhalation",IF($J203="Central Tendency",SUMIFS('Inhalation Exposure_8-hr'!$L$6:$L$411,'Inhalation Exposure_8-hr'!$B$6:$B$411,$B203,'Inhalation Exposure_8-hr'!$D$6:$D$411,$C203),SUMIFS('Inhalation Exposure_8-hr'!$M$6:$M$411,'Inhalation Exposure_8-hr'!$B$6:$B$411,$B203,'Inhalation Exposure_8-hr'!$D$6:$D$411,$C203)),IF($J203="Central Tendency",VLOOKUP($B203,'Dermal Exposure'!$A$6:$L$19,10,FALSE),VLOOKUP($B203,'Dermal Exposure'!$A$6:$L$19,5,FALSE))),"--")</f>
        <v>2.6700610444225101</v>
      </c>
      <c r="N203" s="89">
        <f>IFERROR(VLOOKUP($D203,$Y$9:$AB$10,4,FALSE)/IF($D203="Inhalation",IF($J203="Central Tendency",SUMIFS('Inhalation Exposure_8-hr'!$N$6:$N$411,'Inhalation Exposure_8-hr'!$B$6:$B$411,$B203,'Inhalation Exposure_8-hr'!$D$6:$D$411,$C203),SUMIFS('Inhalation Exposure_8-hr'!$O$6:$O$411,'Inhalation Exposure_8-hr'!$B$6:$B$411,$B203,'Inhalation Exposure_8-hr'!$D$6:$D$411,$C203)),IF($J203="Central Tendency",VLOOKUP($B203,'Dermal Exposure'!$A$6:$L$19,11,FALSE),VLOOKUP($B203,'Dermal Exposure'!$A$6:$L$19,6,FALSE))),"--")</f>
        <v>2.8587453582283677</v>
      </c>
      <c r="O203" s="91" t="str">
        <f>IFERROR(K203*T203, "--")</f>
        <v>--</v>
      </c>
      <c r="P203" s="91">
        <f>IFERROR(L203*U203, "--")</f>
        <v>903.05304550205972</v>
      </c>
      <c r="Q203" s="91">
        <f>IFERROR(M203*V203, "--")</f>
        <v>133.5030522211255</v>
      </c>
      <c r="R203" s="91">
        <f>IFERROR(N203*W203, "--")</f>
        <v>142.93726791141839</v>
      </c>
      <c r="T203" s="109">
        <v>10</v>
      </c>
      <c r="U203" s="110">
        <v>10</v>
      </c>
      <c r="V203" s="110">
        <v>50</v>
      </c>
      <c r="W203" s="111">
        <v>50</v>
      </c>
    </row>
    <row r="204" spans="2:23" ht="15" thickBot="1" x14ac:dyDescent="0.4">
      <c r="B204" s="82" t="s">
        <v>503</v>
      </c>
      <c r="C204" s="83" t="s">
        <v>68</v>
      </c>
      <c r="D204" s="83" t="s">
        <v>107</v>
      </c>
      <c r="E204" s="98"/>
      <c r="F204" s="101"/>
      <c r="G204" s="112"/>
      <c r="H204" s="100"/>
      <c r="I204" s="113"/>
      <c r="J204" s="113"/>
      <c r="K204" s="103"/>
      <c r="L204" s="103"/>
      <c r="M204" s="103"/>
      <c r="N204" s="104"/>
      <c r="O204" s="105" t="str">
        <f>CONCATENATE("(APF ",T203,")")</f>
        <v>(APF 10)</v>
      </c>
      <c r="P204" s="105" t="str">
        <f>CONCATENATE("(APF ",U203,")")</f>
        <v>(APF 10)</v>
      </c>
      <c r="Q204" s="105" t="str">
        <f>CONCATENATE("(APF ",V203,")")</f>
        <v>(APF 50)</v>
      </c>
      <c r="R204" s="105" t="str">
        <f>CONCATENATE("(APF ",W203,")")</f>
        <v>(APF 50)</v>
      </c>
      <c r="T204" s="114" t="s">
        <v>111</v>
      </c>
      <c r="U204" s="115" t="s">
        <v>111</v>
      </c>
      <c r="V204" s="115" t="s">
        <v>111</v>
      </c>
      <c r="W204" s="116" t="s">
        <v>111</v>
      </c>
    </row>
    <row r="205" spans="2:23" ht="15" customHeight="1" thickBot="1" x14ac:dyDescent="0.4">
      <c r="B205" s="82" t="s">
        <v>504</v>
      </c>
      <c r="C205" s="83" t="s">
        <v>80</v>
      </c>
      <c r="D205" s="83" t="s">
        <v>107</v>
      </c>
      <c r="E205" s="98"/>
      <c r="F205" s="101"/>
      <c r="G205" s="85" t="s">
        <v>509</v>
      </c>
      <c r="H205" s="86" t="s">
        <v>80</v>
      </c>
      <c r="I205" s="86" t="s">
        <v>110</v>
      </c>
      <c r="J205" s="86" t="s">
        <v>71</v>
      </c>
      <c r="K205" s="88">
        <f>IFERROR(VLOOKUP($D205,$Y$9:$AB$10,2,FALSE)/IF($D205="Inhalation",IF($J205="Central Tendency",SUMIFS('Inhalation Exposure_Short-Term'!$F$7:$F$397,'Inhalation Exposure_Short-Term'!$B$7:$B$397,$B205,'Inhalation Exposure_Short-Term'!$D$7:$D$397,$C205),SUMIFS('Inhalation Exposure_Short-Term'!$G$7:$G$397,'Inhalation Exposure_Short-Term'!$B$7:$B$397,$B205,'Inhalation Exposure_Short-Term'!$D$7:$D$397,$C205)),IF($J205="Central Tendency",VLOOKUP($B205,'Dermal Exposure'!$A$6:$L$19,9,FALSE),VLOOKUP($B205,'Dermal Exposure'!$A$6:$L$19,4,FALSE))),"--")</f>
        <v>10182.79309996391</v>
      </c>
      <c r="L205" s="88">
        <f>IFERROR(VLOOKUP($D205,$Y$9:$AB$10,2,FALSE)/IF($D205="Inhalation",IF($J205="Central Tendency",SUMIFS('Inhalation Exposure_8-hr'!$H$6:$H$411,'Inhalation Exposure_8-hr'!$B$6:$B$411,$B205,'Inhalation Exposure_8-hr'!$D$6:$D$411,$C205),SUMIFS('Inhalation Exposure_8-hr'!$I$6:$I$411,'Inhalation Exposure_8-hr'!$B$6:$B$411,$B205,'Inhalation Exposure_8-hr'!$D$6:$D$411,$C205)),IF($J205="Central Tendency",VLOOKUP($B205,'Dermal Exposure'!$A$6:$L$19,9,FALSE),VLOOKUP($B205,'Dermal Exposure'!$A$6:$L$19,4,FALSE))),"--")</f>
        <v>329.55826042983301</v>
      </c>
      <c r="M205" s="88">
        <f>IFERROR(VLOOKUP($D205,$Y$9:$AB$10,3,FALSE)/IF($D205="Inhalation",IF($J205="Central Tendency",SUMIFS('Inhalation Exposure_8-hr'!$L$6:$L$411,'Inhalation Exposure_8-hr'!$B$6:$B$411,$B205,'Inhalation Exposure_8-hr'!$D$6:$D$411,$C205),SUMIFS('Inhalation Exposure_8-hr'!$M$6:$M$411,'Inhalation Exposure_8-hr'!$B$6:$B$411,$B205,'Inhalation Exposure_8-hr'!$D$6:$D$411,$C205)),IF($J205="Central Tendency",VLOOKUP($B205,'Dermal Exposure'!$A$6:$L$19,10,FALSE),VLOOKUP($B205,'Dermal Exposure'!$A$6:$L$19,5,FALSE))),"--")</f>
        <v>9.7440640660498019</v>
      </c>
      <c r="N205" s="89">
        <f>IFERROR(VLOOKUP($D205,$Y$9:$AB$10,4,FALSE)/IF($D205="Inhalation",IF($J205="Central Tendency",SUMIFS('Inhalation Exposure_8-hr'!$N$6:$N$411,'Inhalation Exposure_8-hr'!$B$6:$B$411,$B205,'Inhalation Exposure_8-hr'!$D$6:$D$411,$C205),SUMIFS('Inhalation Exposure_8-hr'!$O$6:$O$411,'Inhalation Exposure_8-hr'!$B$6:$B$411,$B205,'Inhalation Exposure_8-hr'!$D$6:$D$411,$C205)),IF($J205="Central Tendency",VLOOKUP($B205,'Dermal Exposure'!$A$6:$L$19,11,FALSE),VLOOKUP($B205,'Dermal Exposure'!$A$6:$L$19,6,FALSE))),"--")</f>
        <v>10.432644593383987</v>
      </c>
      <c r="O205" s="91">
        <f>IFERROR(K205*T205, "--")</f>
        <v>101827.93099963909</v>
      </c>
      <c r="P205" s="91">
        <f>IFERROR(L205*U205, "--")</f>
        <v>3295.5826042983299</v>
      </c>
      <c r="Q205" s="91">
        <f>IFERROR(M205*V205, "--")</f>
        <v>97.440640660498019</v>
      </c>
      <c r="R205" s="91">
        <f>IFERROR(N205*W205, "--")</f>
        <v>104.32644593383986</v>
      </c>
      <c r="T205" s="92">
        <v>10</v>
      </c>
      <c r="U205" s="93">
        <v>10</v>
      </c>
      <c r="V205" s="93">
        <v>10</v>
      </c>
      <c r="W205" s="94">
        <v>10</v>
      </c>
    </row>
    <row r="206" spans="2:23" ht="15" thickBot="1" x14ac:dyDescent="0.4">
      <c r="B206" s="82" t="s">
        <v>504</v>
      </c>
      <c r="C206" s="83" t="s">
        <v>80</v>
      </c>
      <c r="D206" s="83" t="s">
        <v>107</v>
      </c>
      <c r="E206" s="98"/>
      <c r="F206" s="101"/>
      <c r="G206" s="99"/>
      <c r="H206" s="101"/>
      <c r="I206" s="101"/>
      <c r="J206" s="113"/>
      <c r="K206" s="103"/>
      <c r="L206" s="103"/>
      <c r="M206" s="103"/>
      <c r="N206" s="104"/>
      <c r="O206" s="105" t="str">
        <f>CONCATENATE("(APF ",T205,")")</f>
        <v>(APF 10)</v>
      </c>
      <c r="P206" s="105" t="str">
        <f>CONCATENATE("(APF ",U205,")")</f>
        <v>(APF 10)</v>
      </c>
      <c r="Q206" s="105" t="str">
        <f>CONCATENATE("(APF ",V205,")")</f>
        <v>(APF 10)</v>
      </c>
      <c r="R206" s="105" t="str">
        <f>CONCATENATE("(APF ",W205,")")</f>
        <v>(APF 10)</v>
      </c>
      <c r="T206" s="106" t="s">
        <v>111</v>
      </c>
      <c r="U206" s="107" t="s">
        <v>111</v>
      </c>
      <c r="V206" s="107" t="s">
        <v>111</v>
      </c>
      <c r="W206" s="108" t="s">
        <v>111</v>
      </c>
    </row>
    <row r="207" spans="2:23" ht="15" thickBot="1" x14ac:dyDescent="0.4">
      <c r="B207" s="82" t="s">
        <v>504</v>
      </c>
      <c r="C207" s="83" t="s">
        <v>80</v>
      </c>
      <c r="D207" s="83" t="s">
        <v>107</v>
      </c>
      <c r="E207" s="98"/>
      <c r="F207" s="101"/>
      <c r="G207" s="99"/>
      <c r="H207" s="101"/>
      <c r="I207" s="101"/>
      <c r="J207" s="86" t="s">
        <v>112</v>
      </c>
      <c r="K207" s="88">
        <f>IFERROR(VLOOKUP($D207,$Y$9:$AB$10,2,FALSE)/IF($D207="Inhalation",IF($J207="Central Tendency",SUMIFS('Inhalation Exposure_Short-Term'!$F$7:$F$397,'Inhalation Exposure_Short-Term'!$B$7:$B$397,$B207,'Inhalation Exposure_Short-Term'!$D$7:$D$397,$C207),SUMIFS('Inhalation Exposure_Short-Term'!$G$7:$G$397,'Inhalation Exposure_Short-Term'!$B$7:$B$397,$B207,'Inhalation Exposure_Short-Term'!$D$7:$D$397,$C207)),IF($J207="Central Tendency",VLOOKUP($B207,'Dermal Exposure'!$A$6:$L$19,9,FALSE),VLOOKUP($B207,'Dermal Exposure'!$A$6:$L$19,4,FALSE))),"--")</f>
        <v>1547.2492393635596</v>
      </c>
      <c r="L207" s="88">
        <f>IFERROR(VLOOKUP($D207,$Y$9:$AB$10,2,FALSE)/IF($D207="Inhalation",IF($J207="Central Tendency",SUMIFS('Inhalation Exposure_8-hr'!$H$6:$H$411,'Inhalation Exposure_8-hr'!$B$6:$B$411,$B207,'Inhalation Exposure_8-hr'!$D$6:$D$411,$C207),SUMIFS('Inhalation Exposure_8-hr'!$I$6:$I$411,'Inhalation Exposure_8-hr'!$B$6:$B$411,$B207,'Inhalation Exposure_8-hr'!$D$6:$D$411,$C207)),IF($J207="Central Tendency",VLOOKUP($B207,'Dermal Exposure'!$A$6:$L$19,9,FALSE),VLOOKUP($B207,'Dermal Exposure'!$A$6:$L$19,4,FALSE))),"--")</f>
        <v>329.55826042983301</v>
      </c>
      <c r="M207" s="88">
        <f>IFERROR(VLOOKUP($D207,$Y$9:$AB$10,3,FALSE)/IF($D207="Inhalation",IF($J207="Central Tendency",SUMIFS('Inhalation Exposure_8-hr'!$L$6:$L$411,'Inhalation Exposure_8-hr'!$B$6:$B$411,$B207,'Inhalation Exposure_8-hr'!$D$6:$D$411,$C207),SUMIFS('Inhalation Exposure_8-hr'!$M$6:$M$411,'Inhalation Exposure_8-hr'!$B$6:$B$411,$B207,'Inhalation Exposure_8-hr'!$D$6:$D$411,$C207)),IF($J207="Central Tendency",VLOOKUP($B207,'Dermal Exposure'!$A$6:$L$19,10,FALSE),VLOOKUP($B207,'Dermal Exposure'!$A$6:$L$19,5,FALSE))),"--")</f>
        <v>9.7440640660498019</v>
      </c>
      <c r="N207" s="89">
        <f>IFERROR(VLOOKUP($D207,$Y$9:$AB$10,4,FALSE)/IF($D207="Inhalation",IF($J207="Central Tendency",SUMIFS('Inhalation Exposure_8-hr'!$N$6:$N$411,'Inhalation Exposure_8-hr'!$B$6:$B$411,$B207,'Inhalation Exposure_8-hr'!$D$6:$D$411,$C207),SUMIFS('Inhalation Exposure_8-hr'!$O$6:$O$411,'Inhalation Exposure_8-hr'!$B$6:$B$411,$B207,'Inhalation Exposure_8-hr'!$D$6:$D$411,$C207)),IF($J207="Central Tendency",VLOOKUP($B207,'Dermal Exposure'!$A$6:$L$19,11,FALSE),VLOOKUP($B207,'Dermal Exposure'!$A$6:$L$19,6,FALSE))),"--")</f>
        <v>10.432644593383987</v>
      </c>
      <c r="O207" s="91">
        <f>IFERROR(K207*T207, "--")</f>
        <v>15472.492393635595</v>
      </c>
      <c r="P207" s="91">
        <f>IFERROR(L207*U207, "--")</f>
        <v>3295.5826042983299</v>
      </c>
      <c r="Q207" s="91">
        <f>IFERROR(M207*V207, "--")</f>
        <v>97.440640660498019</v>
      </c>
      <c r="R207" s="91">
        <f>IFERROR(N207*W207, "--")</f>
        <v>521.63222966919932</v>
      </c>
      <c r="T207" s="109">
        <v>10</v>
      </c>
      <c r="U207" s="110">
        <v>10</v>
      </c>
      <c r="V207" s="110">
        <v>10</v>
      </c>
      <c r="W207" s="111">
        <v>50</v>
      </c>
    </row>
    <row r="208" spans="2:23" ht="15" thickBot="1" x14ac:dyDescent="0.4">
      <c r="B208" s="82" t="s">
        <v>504</v>
      </c>
      <c r="C208" s="83" t="s">
        <v>80</v>
      </c>
      <c r="D208" s="83" t="s">
        <v>107</v>
      </c>
      <c r="E208" s="98"/>
      <c r="F208" s="113"/>
      <c r="G208" s="112"/>
      <c r="H208" s="113"/>
      <c r="I208" s="113"/>
      <c r="J208" s="113"/>
      <c r="K208" s="103"/>
      <c r="L208" s="103"/>
      <c r="M208" s="103"/>
      <c r="N208" s="104"/>
      <c r="O208" s="105" t="str">
        <f>CONCATENATE("(APF ",T207,")")</f>
        <v>(APF 10)</v>
      </c>
      <c r="P208" s="105" t="str">
        <f>CONCATENATE("(APF ",U207,")")</f>
        <v>(APF 10)</v>
      </c>
      <c r="Q208" s="105" t="str">
        <f>CONCATENATE("(APF ",V207,")")</f>
        <v>(APF 10)</v>
      </c>
      <c r="R208" s="105" t="str">
        <f>CONCATENATE("(APF ",W207,")")</f>
        <v>(APF 50)</v>
      </c>
      <c r="T208" s="114" t="s">
        <v>111</v>
      </c>
      <c r="U208" s="115" t="s">
        <v>111</v>
      </c>
      <c r="V208" s="115" t="s">
        <v>111</v>
      </c>
      <c r="W208" s="116" t="s">
        <v>111</v>
      </c>
    </row>
    <row r="209" spans="2:23" ht="15.75" customHeight="1" thickBot="1" x14ac:dyDescent="0.4">
      <c r="B209" s="82">
        <v>7</v>
      </c>
      <c r="C209" s="83" t="s">
        <v>68</v>
      </c>
      <c r="D209" s="83" t="s">
        <v>58</v>
      </c>
      <c r="E209" s="98"/>
      <c r="F209" s="85" t="s">
        <v>526</v>
      </c>
      <c r="G209" s="85" t="s">
        <v>522</v>
      </c>
      <c r="H209" s="124"/>
      <c r="I209" s="101" t="s">
        <v>58</v>
      </c>
      <c r="J209" s="86" t="s">
        <v>71</v>
      </c>
      <c r="K209" s="88" t="s">
        <v>86</v>
      </c>
      <c r="L209" s="88" t="s">
        <v>86</v>
      </c>
      <c r="M209" s="88">
        <f>IFERROR(VLOOKUP($D209,$Y$9:$AB$10,3,FALSE)/IF($D209="Inhalation",IF($J209="Central Tendency",SUMIFS('Inhalation Exposure_8-hr'!$L$6:$L$411,'Inhalation Exposure_8-hr'!$B$6:$B$411,$B209,'Inhalation Exposure_8-hr'!$D$6:$D$411,$C209),SUMIFS('Inhalation Exposure_8-hr'!$M$6:$M$411,'Inhalation Exposure_8-hr'!$B$6:$B$411,$B209,'Inhalation Exposure_8-hr'!$D$6:$D$411,$C209)),IF($J209="Central Tendency",VLOOKUP($B209,'Dermal Exposure'!$A$6:$L$19,5,FALSE),VLOOKUP($B209,'Dermal Exposure'!$A$6:$L$19,10,FALSE))),"--")</f>
        <v>878.45159789513957</v>
      </c>
      <c r="N209" s="89">
        <f>IFERROR(VLOOKUP($D209,$Y$9:$AB$10,4,FALSE)/IF($D209="Inhalation",IF($J209="Central Tendency",SUMIFS('Inhalation Exposure_8-hr'!$N$6:$N$411,'Inhalation Exposure_8-hr'!$B$6:$B$411,$B209,'Inhalation Exposure_8-hr'!$D$6:$D$411,$C209),SUMIFS('Inhalation Exposure_8-hr'!$O$6:$O$411,'Inhalation Exposure_8-hr'!$B$6:$B$411,$B209,'Inhalation Exposure_8-hr'!$D$6:$D$411,$C209)),IF($J209="Central Tendency",VLOOKUP($B209,'Dermal Exposure'!$A$6:$L$19,6,FALSE),VLOOKUP($B209,'Dermal Exposure'!$A$6:$L$19,11,FALSE))),"--")</f>
        <v>940.52884414639607</v>
      </c>
      <c r="O209" s="91" t="str">
        <f>IFERROR(K209*T209, "--")</f>
        <v>--</v>
      </c>
      <c r="P209" s="91" t="str">
        <f>IFERROR(L209*U209, "--")</f>
        <v>--</v>
      </c>
      <c r="Q209" s="91">
        <f>IFERROR(M209*V209, "--")</f>
        <v>4392.2579894756982</v>
      </c>
      <c r="R209" s="91">
        <f>IFERROR(N209*W209, "--")</f>
        <v>4702.6442207319806</v>
      </c>
      <c r="T209" s="92">
        <v>5</v>
      </c>
      <c r="U209" s="93">
        <v>5</v>
      </c>
      <c r="V209" s="93">
        <v>5</v>
      </c>
      <c r="W209" s="94">
        <v>5</v>
      </c>
    </row>
    <row r="210" spans="2:23" ht="15" thickBot="1" x14ac:dyDescent="0.4">
      <c r="B210" s="82">
        <v>7</v>
      </c>
      <c r="C210" s="83" t="s">
        <v>68</v>
      </c>
      <c r="D210" s="83" t="s">
        <v>58</v>
      </c>
      <c r="E210" s="98"/>
      <c r="F210" s="99"/>
      <c r="G210" s="99"/>
      <c r="H210" s="124"/>
      <c r="I210" s="101"/>
      <c r="J210" s="113"/>
      <c r="K210" s="103"/>
      <c r="L210" s="103"/>
      <c r="M210" s="103"/>
      <c r="N210" s="104"/>
      <c r="O210" s="105" t="str">
        <f>CONCATENATE("(PF ",T209,")")</f>
        <v>(PF 5)</v>
      </c>
      <c r="P210" s="105" t="str">
        <f>CONCATENATE("(PF ",U209,")")</f>
        <v>(PF 5)</v>
      </c>
      <c r="Q210" s="105" t="str">
        <f>CONCATENATE("(PF ",V209,")")</f>
        <v>(PF 5)</v>
      </c>
      <c r="R210" s="105" t="str">
        <f>CONCATENATE("(PF ",W209,")")</f>
        <v>(PF 5)</v>
      </c>
      <c r="T210" s="106" t="s">
        <v>118</v>
      </c>
      <c r="U210" s="107" t="s">
        <v>118</v>
      </c>
      <c r="V210" s="107" t="s">
        <v>118</v>
      </c>
      <c r="W210" s="108" t="s">
        <v>118</v>
      </c>
    </row>
    <row r="211" spans="2:23" ht="15" thickBot="1" x14ac:dyDescent="0.4">
      <c r="B211" s="82">
        <v>7</v>
      </c>
      <c r="C211" s="83" t="s">
        <v>68</v>
      </c>
      <c r="D211" s="83" t="s">
        <v>58</v>
      </c>
      <c r="E211" s="98"/>
      <c r="F211" s="99"/>
      <c r="G211" s="99"/>
      <c r="H211" s="124"/>
      <c r="I211" s="101"/>
      <c r="J211" s="86" t="s">
        <v>112</v>
      </c>
      <c r="K211" s="88" t="s">
        <v>86</v>
      </c>
      <c r="L211" s="88" t="s">
        <v>86</v>
      </c>
      <c r="M211" s="88">
        <f>IFERROR(VLOOKUP($D211,$Y$9:$AB$10,3,FALSE)/IF($D211="Inhalation",IF($J211="Central Tendency",SUMIFS('Inhalation Exposure_8-hr'!$L$6:$L$411,'Inhalation Exposure_8-hr'!$B$6:$B$411,$B211,'Inhalation Exposure_8-hr'!$D$6:$D$411,$C211),SUMIFS('Inhalation Exposure_8-hr'!$M$6:$M$411,'Inhalation Exposure_8-hr'!$B$6:$B$411,$B211,'Inhalation Exposure_8-hr'!$D$6:$D$411,$C211)),IF($J211="Central Tendency",VLOOKUP($B211,'Dermal Exposure'!$A$6:$L$19,5,FALSE),VLOOKUP($B211,'Dermal Exposure'!$A$6:$L$19,10,FALSE))),"--")</f>
        <v>200.65251768552039</v>
      </c>
      <c r="N211" s="89">
        <f>IFERROR(VLOOKUP($D211,$Y$9:$AB$10,4,FALSE)/IF($D211="Inhalation",IF($J211="Central Tendency",SUMIFS('Inhalation Exposure_8-hr'!$N$6:$N$411,'Inhalation Exposure_8-hr'!$B$6:$B$411,$B211,'Inhalation Exposure_8-hr'!$D$6:$D$411,$C211),SUMIFS('Inhalation Exposure_8-hr'!$O$6:$O$411,'Inhalation Exposure_8-hr'!$B$6:$B$411,$B211,'Inhalation Exposure_8-hr'!$D$6:$D$411,$C211)),IF($J211="Central Tendency",VLOOKUP($B211,'Dermal Exposure'!$A$6:$L$19,6,FALSE),VLOOKUP($B211,'Dermal Exposure'!$A$6:$L$19,11,FALSE))),"--")</f>
        <v>214.83196226863049</v>
      </c>
      <c r="O211" s="91" t="str">
        <f>IFERROR(K211*T211, "--")</f>
        <v>--</v>
      </c>
      <c r="P211" s="91" t="str">
        <f>IFERROR(L211*U211, "--")</f>
        <v>--</v>
      </c>
      <c r="Q211" s="91">
        <f>IFERROR(M211*V211, "--")</f>
        <v>1003.2625884276019</v>
      </c>
      <c r="R211" s="91">
        <f>IFERROR(N211*W211, "--")</f>
        <v>1074.1598113431523</v>
      </c>
      <c r="T211" s="109">
        <v>5</v>
      </c>
      <c r="U211" s="110">
        <v>5</v>
      </c>
      <c r="V211" s="110">
        <v>5</v>
      </c>
      <c r="W211" s="111">
        <v>5</v>
      </c>
    </row>
    <row r="212" spans="2:23" ht="15" thickBot="1" x14ac:dyDescent="0.4">
      <c r="B212" s="82">
        <v>7</v>
      </c>
      <c r="C212" s="83" t="s">
        <v>68</v>
      </c>
      <c r="D212" s="83" t="s">
        <v>58</v>
      </c>
      <c r="E212" s="98"/>
      <c r="F212" s="112"/>
      <c r="G212" s="112"/>
      <c r="H212" s="124"/>
      <c r="I212" s="113"/>
      <c r="J212" s="113"/>
      <c r="K212" s="103"/>
      <c r="L212" s="103"/>
      <c r="M212" s="103"/>
      <c r="N212" s="104"/>
      <c r="O212" s="105" t="str">
        <f>CONCATENATE("(PF ",T211,")")</f>
        <v>(PF 5)</v>
      </c>
      <c r="P212" s="105" t="str">
        <f>CONCATENATE("(PF ",U211,")")</f>
        <v>(PF 5)</v>
      </c>
      <c r="Q212" s="105" t="str">
        <f>CONCATENATE("(PF ",V211,")")</f>
        <v>(PF 5)</v>
      </c>
      <c r="R212" s="105" t="str">
        <f>CONCATENATE("(PF ",W211,")")</f>
        <v>(PF 5)</v>
      </c>
      <c r="T212" s="114" t="s">
        <v>118</v>
      </c>
      <c r="U212" s="115" t="s">
        <v>118</v>
      </c>
      <c r="V212" s="115" t="s">
        <v>118</v>
      </c>
      <c r="W212" s="116" t="s">
        <v>118</v>
      </c>
    </row>
    <row r="213" spans="2:23" ht="15.75" customHeight="1" thickBot="1" x14ac:dyDescent="0.4">
      <c r="B213" s="82" t="s">
        <v>183</v>
      </c>
      <c r="C213" s="83" t="s">
        <v>68</v>
      </c>
      <c r="D213" s="83" t="s">
        <v>107</v>
      </c>
      <c r="E213" s="84" t="s">
        <v>189</v>
      </c>
      <c r="F213" s="84" t="s">
        <v>190</v>
      </c>
      <c r="G213" s="85" t="s">
        <v>512</v>
      </c>
      <c r="H213" s="86" t="s">
        <v>68</v>
      </c>
      <c r="I213" s="86" t="s">
        <v>110</v>
      </c>
      <c r="J213" s="86" t="s">
        <v>71</v>
      </c>
      <c r="K213" s="88" t="str">
        <f>IFERROR(VLOOKUP($D213,$Y$9:$AB$10,2,FALSE)/IF($D213="Inhalation",IF($J213="Central Tendency",SUMIFS('Inhalation Exposure_Short-Term'!$F$7:$F$397,'Inhalation Exposure_Short-Term'!$B$7:$B$397,$B213,'Inhalation Exposure_Short-Term'!$D$7:$D$397,$C213),SUMIFS('Inhalation Exposure_Short-Term'!$G$7:$G$397,'Inhalation Exposure_Short-Term'!$B$7:$B$397,$B213,'Inhalation Exposure_Short-Term'!$D$7:$D$397,$C213)),IF($J213="Central Tendency",VLOOKUP($B213,'Dermal Exposure'!$A$6:$L$19,9,FALSE),VLOOKUP($B213,'Dermal Exposure'!$A$6:$L$19,4,FALSE))),"--")</f>
        <v>--</v>
      </c>
      <c r="L213" s="88">
        <f>IFERROR(VLOOKUP($D213,$Y$9:$AB$10,2,FALSE)/IF($D213="Inhalation",IF($J213="Central Tendency",SUMIFS('Inhalation Exposure_8-hr'!$H$6:$H$411,'Inhalation Exposure_8-hr'!$B$6:$B$411,$B213,'Inhalation Exposure_8-hr'!$D$6:$D$411,$C213),SUMIFS('Inhalation Exposure_8-hr'!$I$6:$I$411,'Inhalation Exposure_8-hr'!$B$6:$B$411,$B213,'Inhalation Exposure_8-hr'!$D$6:$D$411,$C213)),IF($J213="Central Tendency",VLOOKUP($B213,'Dermal Exposure'!$A$6:$L$19,9,FALSE),VLOOKUP($B213,'Dermal Exposure'!$A$6:$L$19,4,FALSE))),"--")</f>
        <v>10676.221558235575</v>
      </c>
      <c r="M213" s="88">
        <f>IFERROR(VLOOKUP($D213,$Y$9:$AB$10,3,FALSE)/IF($D213="Inhalation",IF($J213="Central Tendency",SUMIFS('Inhalation Exposure_8-hr'!$L$6:$L$411,'Inhalation Exposure_8-hr'!$B$6:$B$411,$B213,'Inhalation Exposure_8-hr'!$D$6:$D$411,$C213),SUMIFS('Inhalation Exposure_8-hr'!$M$6:$M$411,'Inhalation Exposure_8-hr'!$B$6:$B$411,$B213,'Inhalation Exposure_8-hr'!$D$6:$D$411,$C213)),IF($J213="Central Tendency",VLOOKUP($B213,'Dermal Exposure'!$A$6:$L$19,10,FALSE),VLOOKUP($B213,'Dermal Exposure'!$A$6:$L$19,5,FALSE))),"--")</f>
        <v>315.66432809514924</v>
      </c>
      <c r="N213" s="89">
        <f>IFERROR(VLOOKUP($D213,$Y$9:$AB$10,4,FALSE)/IF($D213="Inhalation",IF($J213="Central Tendency",SUMIFS('Inhalation Exposure_8-hr'!$N$6:$N$411,'Inhalation Exposure_8-hr'!$B$6:$B$411,$B213,'Inhalation Exposure_8-hr'!$D$6:$D$411,$C213),SUMIFS('Inhalation Exposure_8-hr'!$O$6:$O$411,'Inhalation Exposure_8-hr'!$B$6:$B$411,$B213,'Inhalation Exposure_8-hr'!$D$6:$D$411,$C213)),IF($J213="Central Tendency",VLOOKUP($B213,'Dermal Exposure'!$A$6:$L$19,11,FALSE),VLOOKUP($B213,'Dermal Exposure'!$A$6:$L$19,6,FALSE))),"--")</f>
        <v>337.9712739472065</v>
      </c>
      <c r="O213" s="91" t="str">
        <f>IFERROR(K213*T213, "--")</f>
        <v>--</v>
      </c>
      <c r="P213" s="91">
        <f>IFERROR(L213*U213, "--")</f>
        <v>106762.21558235574</v>
      </c>
      <c r="Q213" s="91">
        <f>IFERROR(M213*V213, "--")</f>
        <v>3156.6432809514927</v>
      </c>
      <c r="R213" s="91">
        <f>IFERROR(N213*W213, "--")</f>
        <v>3379.7127394720651</v>
      </c>
      <c r="T213" s="92">
        <v>10</v>
      </c>
      <c r="U213" s="93">
        <v>10</v>
      </c>
      <c r="V213" s="93">
        <v>10</v>
      </c>
      <c r="W213" s="94">
        <v>10</v>
      </c>
    </row>
    <row r="214" spans="2:23" ht="15" thickBot="1" x14ac:dyDescent="0.4">
      <c r="B214" s="82" t="s">
        <v>183</v>
      </c>
      <c r="C214" s="83" t="s">
        <v>68</v>
      </c>
      <c r="D214" s="83" t="s">
        <v>107</v>
      </c>
      <c r="E214" s="98"/>
      <c r="F214" s="98"/>
      <c r="G214" s="99"/>
      <c r="H214" s="100"/>
      <c r="I214" s="101"/>
      <c r="J214" s="113"/>
      <c r="K214" s="103"/>
      <c r="L214" s="103"/>
      <c r="M214" s="103"/>
      <c r="N214" s="104"/>
      <c r="O214" s="105" t="str">
        <f>CONCATENATE("(APF ",T213,")")</f>
        <v>(APF 10)</v>
      </c>
      <c r="P214" s="105" t="str">
        <f>CONCATENATE("(APF ",U213,")")</f>
        <v>(APF 10)</v>
      </c>
      <c r="Q214" s="105" t="str">
        <f>CONCATENATE("(APF ",V213,")")</f>
        <v>(APF 10)</v>
      </c>
      <c r="R214" s="105" t="str">
        <f>CONCATENATE("(APF ",W213,")")</f>
        <v>(APF 10)</v>
      </c>
      <c r="T214" s="106" t="s">
        <v>111</v>
      </c>
      <c r="U214" s="107" t="s">
        <v>111</v>
      </c>
      <c r="V214" s="107" t="s">
        <v>111</v>
      </c>
      <c r="W214" s="108" t="s">
        <v>111</v>
      </c>
    </row>
    <row r="215" spans="2:23" ht="15.75" customHeight="1" thickBot="1" x14ac:dyDescent="0.4">
      <c r="B215" s="82" t="s">
        <v>183</v>
      </c>
      <c r="C215" s="83" t="s">
        <v>68</v>
      </c>
      <c r="D215" s="83" t="s">
        <v>107</v>
      </c>
      <c r="E215" s="98"/>
      <c r="F215" s="98"/>
      <c r="G215" s="99"/>
      <c r="H215" s="100"/>
      <c r="I215" s="101"/>
      <c r="J215" s="86" t="s">
        <v>112</v>
      </c>
      <c r="K215" s="88" t="str">
        <f>IFERROR(VLOOKUP($D215,$Y$9:$AB$10,2,FALSE)/IF($D215="Inhalation",IF($J215="Central Tendency",SUMIFS('Inhalation Exposure_Short-Term'!$F$7:$F$397,'Inhalation Exposure_Short-Term'!$B$7:$B$397,$B215,'Inhalation Exposure_Short-Term'!$D$7:$D$397,$C215),SUMIFS('Inhalation Exposure_Short-Term'!$G$7:$G$397,'Inhalation Exposure_Short-Term'!$B$7:$B$397,$B215,'Inhalation Exposure_Short-Term'!$D$7:$D$397,$C215)),IF($J215="Central Tendency",VLOOKUP($B215,'Dermal Exposure'!$A$6:$L$19,9,FALSE),VLOOKUP($B215,'Dermal Exposure'!$A$6:$L$19,4,FALSE))),"--")</f>
        <v>--</v>
      </c>
      <c r="L215" s="88">
        <f>IFERROR(VLOOKUP($D215,$Y$9:$AB$10,2,FALSE)/IF($D215="Inhalation",IF($J215="Central Tendency",SUMIFS('Inhalation Exposure_8-hr'!$H$6:$H$411,'Inhalation Exposure_8-hr'!$B$6:$B$411,$B215,'Inhalation Exposure_8-hr'!$D$6:$D$411,$C215),SUMIFS('Inhalation Exposure_8-hr'!$I$6:$I$411,'Inhalation Exposure_8-hr'!$B$6:$B$411,$B215,'Inhalation Exposure_8-hr'!$D$6:$D$411,$C215)),IF($J215="Central Tendency",VLOOKUP($B215,'Dermal Exposure'!$A$6:$L$19,9,FALSE),VLOOKUP($B215,'Dermal Exposure'!$A$6:$L$19,4,FALSE))),"--")</f>
        <v>1997.225846294579</v>
      </c>
      <c r="M215" s="88">
        <f>IFERROR(VLOOKUP($D215,$Y$9:$AB$10,3,FALSE)/IF($D215="Inhalation",IF($J215="Central Tendency",SUMIFS('Inhalation Exposure_8-hr'!$L$6:$L$411,'Inhalation Exposure_8-hr'!$B$6:$B$411,$B215,'Inhalation Exposure_8-hr'!$D$6:$D$411,$C215),SUMIFS('Inhalation Exposure_8-hr'!$M$6:$M$411,'Inhalation Exposure_8-hr'!$B$6:$B$411,$B215,'Inhalation Exposure_8-hr'!$D$6:$D$411,$C215)),IF($J215="Central Tendency",VLOOKUP($B215,'Dermal Exposure'!$A$6:$L$19,10,FALSE),VLOOKUP($B215,'Dermal Exposure'!$A$6:$L$19,5,FALSE))),"--")</f>
        <v>59.052067380384827</v>
      </c>
      <c r="N215" s="89">
        <f>IFERROR(VLOOKUP($D215,$Y$9:$AB$10,4,FALSE)/IF($D215="Inhalation",IF($J215="Central Tendency",SUMIFS('Inhalation Exposure_8-hr'!$N$6:$N$411,'Inhalation Exposure_8-hr'!$B$6:$B$411,$B215,'Inhalation Exposure_8-hr'!$D$6:$D$411,$C215),SUMIFS('Inhalation Exposure_8-hr'!$O$6:$O$411,'Inhalation Exposure_8-hr'!$B$6:$B$411,$B215,'Inhalation Exposure_8-hr'!$D$6:$D$411,$C215)),IF($J215="Central Tendency",VLOOKUP($B215,'Dermal Exposure'!$A$6:$L$19,11,FALSE),VLOOKUP($B215,'Dermal Exposure'!$A$6:$L$19,6,FALSE))),"--")</f>
        <v>63.225080141932033</v>
      </c>
      <c r="O215" s="91" t="str">
        <f>IFERROR(K215*T215, "--")</f>
        <v>--</v>
      </c>
      <c r="P215" s="91">
        <f>IFERROR(L215*U215, "--")</f>
        <v>19972.258462945789</v>
      </c>
      <c r="Q215" s="91">
        <f>IFERROR(M215*V215, "--")</f>
        <v>590.52067380384824</v>
      </c>
      <c r="R215" s="91">
        <f>IFERROR(N215*W215, "--")</f>
        <v>632.25080141932028</v>
      </c>
      <c r="T215" s="109">
        <v>10</v>
      </c>
      <c r="U215" s="110">
        <v>10</v>
      </c>
      <c r="V215" s="110">
        <v>10</v>
      </c>
      <c r="W215" s="111">
        <v>10</v>
      </c>
    </row>
    <row r="216" spans="2:23" ht="15" thickBot="1" x14ac:dyDescent="0.4">
      <c r="B216" s="82" t="s">
        <v>183</v>
      </c>
      <c r="C216" s="83" t="s">
        <v>68</v>
      </c>
      <c r="D216" s="83" t="s">
        <v>107</v>
      </c>
      <c r="E216" s="98"/>
      <c r="F216" s="98"/>
      <c r="G216" s="112"/>
      <c r="H216" s="100"/>
      <c r="I216" s="113"/>
      <c r="J216" s="113"/>
      <c r="K216" s="103"/>
      <c r="L216" s="103"/>
      <c r="M216" s="103"/>
      <c r="N216" s="104"/>
      <c r="O216" s="105" t="str">
        <f>CONCATENATE("(APF ",T215,")")</f>
        <v>(APF 10)</v>
      </c>
      <c r="P216" s="105" t="str">
        <f>CONCATENATE("(APF ",U215,")")</f>
        <v>(APF 10)</v>
      </c>
      <c r="Q216" s="105" t="str">
        <f>CONCATENATE("(APF ",V215,")")</f>
        <v>(APF 10)</v>
      </c>
      <c r="R216" s="105" t="str">
        <f>CONCATENATE("(APF ",W215,")")</f>
        <v>(APF 10)</v>
      </c>
      <c r="T216" s="114" t="s">
        <v>111</v>
      </c>
      <c r="U216" s="115" t="s">
        <v>111</v>
      </c>
      <c r="V216" s="115" t="s">
        <v>111</v>
      </c>
      <c r="W216" s="116" t="s">
        <v>111</v>
      </c>
    </row>
    <row r="217" spans="2:23" ht="15.75" customHeight="1" thickBot="1" x14ac:dyDescent="0.4">
      <c r="B217" s="82" t="s">
        <v>186</v>
      </c>
      <c r="C217" s="83" t="s">
        <v>68</v>
      </c>
      <c r="D217" s="83" t="s">
        <v>107</v>
      </c>
      <c r="E217" s="98"/>
      <c r="F217" s="98"/>
      <c r="G217" s="85" t="s">
        <v>511</v>
      </c>
      <c r="H217" s="100"/>
      <c r="I217" s="86" t="s">
        <v>110</v>
      </c>
      <c r="J217" s="86" t="s">
        <v>71</v>
      </c>
      <c r="K217" s="88" t="str">
        <f>IFERROR(VLOOKUP($D217,$Y$9:$AB$10,2,FALSE)/IF($D217="Inhalation",IF($J217="Central Tendency",SUMIFS('Inhalation Exposure_Short-Term'!$F$7:$F$397,'Inhalation Exposure_Short-Term'!$B$7:$B$397,$B217,'Inhalation Exposure_Short-Term'!$D$7:$D$397,$C217),SUMIFS('Inhalation Exposure_Short-Term'!$G$7:$G$397,'Inhalation Exposure_Short-Term'!$B$7:$B$397,$B217,'Inhalation Exposure_Short-Term'!$D$7:$D$397,$C217)),IF($J217="Central Tendency",VLOOKUP($B217,'Dermal Exposure'!$A$6:$L$19,9,FALSE),VLOOKUP($B217,'Dermal Exposure'!$A$6:$L$19,4,FALSE))),"--")</f>
        <v>--</v>
      </c>
      <c r="L217" s="88">
        <f>IFERROR(VLOOKUP($D217,$Y$9:$AB$10,2,FALSE)/IF($D217="Inhalation",IF($J217="Central Tendency",SUMIFS('Inhalation Exposure_8-hr'!$H$6:$H$411,'Inhalation Exposure_8-hr'!$B$6:$B$411,$B217,'Inhalation Exposure_8-hr'!$D$6:$D$411,$C217),SUMIFS('Inhalation Exposure_8-hr'!$I$6:$I$411,'Inhalation Exposure_8-hr'!$B$6:$B$411,$B217,'Inhalation Exposure_8-hr'!$D$6:$D$411,$C217)),IF($J217="Central Tendency",VLOOKUP($B217,'Dermal Exposure'!$A$6:$L$19,9,FALSE),VLOOKUP($B217,'Dermal Exposure'!$A$6:$L$19,4,FALSE))),"--")</f>
        <v>2883.5099460866331</v>
      </c>
      <c r="M217" s="88">
        <f>IFERROR(VLOOKUP($D217,$Y$9:$AB$10,3,FALSE)/IF($D217="Inhalation",IF($J217="Central Tendency",SUMIFS('Inhalation Exposure_8-hr'!$L$6:$L$411,'Inhalation Exposure_8-hr'!$B$6:$B$411,$B217,'Inhalation Exposure_8-hr'!$D$6:$D$411,$C217),SUMIFS('Inhalation Exposure_8-hr'!$M$6:$M$411,'Inhalation Exposure_8-hr'!$B$6:$B$411,$B217,'Inhalation Exposure_8-hr'!$D$6:$D$411,$C217)),IF($J217="Central Tendency",VLOOKUP($B217,'Dermal Exposure'!$A$6:$L$19,10,FALSE),VLOOKUP($B217,'Dermal Exposure'!$A$6:$L$19,5,FALSE))),"--")</f>
        <v>85.256869644577392</v>
      </c>
      <c r="N217" s="89">
        <f>IFERROR(VLOOKUP($D217,$Y$9:$AB$10,4,FALSE)/IF($D217="Inhalation",IF($J217="Central Tendency",SUMIFS('Inhalation Exposure_8-hr'!$N$6:$N$411,'Inhalation Exposure_8-hr'!$B$6:$B$411,$B217,'Inhalation Exposure_8-hr'!$D$6:$D$411,$C217),SUMIFS('Inhalation Exposure_8-hr'!$O$6:$O$411,'Inhalation Exposure_8-hr'!$B$6:$B$411,$B217,'Inhalation Exposure_8-hr'!$D$6:$D$411,$C217)),IF($J217="Central Tendency",VLOOKUP($B217,'Dermal Exposure'!$A$6:$L$19,11,FALSE),VLOOKUP($B217,'Dermal Exposure'!$A$6:$L$19,6,FALSE))),"--")</f>
        <v>91.281688432794198</v>
      </c>
      <c r="O217" s="91" t="str">
        <f>IFERROR(K217*T217, "--")</f>
        <v>--</v>
      </c>
      <c r="P217" s="91">
        <f>IFERROR(L217*U217, "--")</f>
        <v>28835.099460866331</v>
      </c>
      <c r="Q217" s="91">
        <f>IFERROR(M217*V217, "--")</f>
        <v>852.56869644577387</v>
      </c>
      <c r="R217" s="91">
        <f>IFERROR(N217*W217, "--")</f>
        <v>4564.0844216397099</v>
      </c>
      <c r="T217" s="92">
        <v>10</v>
      </c>
      <c r="U217" s="93">
        <v>10</v>
      </c>
      <c r="V217" s="93">
        <v>10</v>
      </c>
      <c r="W217" s="94">
        <v>50</v>
      </c>
    </row>
    <row r="218" spans="2:23" ht="15" thickBot="1" x14ac:dyDescent="0.4">
      <c r="B218" s="82" t="s">
        <v>186</v>
      </c>
      <c r="C218" s="83" t="s">
        <v>68</v>
      </c>
      <c r="D218" s="83" t="s">
        <v>107</v>
      </c>
      <c r="E218" s="98"/>
      <c r="F218" s="98"/>
      <c r="G218" s="99"/>
      <c r="H218" s="100"/>
      <c r="I218" s="101"/>
      <c r="J218" s="113"/>
      <c r="K218" s="103"/>
      <c r="L218" s="103"/>
      <c r="M218" s="103"/>
      <c r="N218" s="104"/>
      <c r="O218" s="105" t="str">
        <f>CONCATENATE("(APF ",T217,")")</f>
        <v>(APF 10)</v>
      </c>
      <c r="P218" s="105" t="str">
        <f>CONCATENATE("(APF ",U217,")")</f>
        <v>(APF 10)</v>
      </c>
      <c r="Q218" s="105" t="str">
        <f>CONCATENATE("(APF ",V217,")")</f>
        <v>(APF 10)</v>
      </c>
      <c r="R218" s="105" t="str">
        <f>CONCATENATE("(APF ",W217,")")</f>
        <v>(APF 50)</v>
      </c>
      <c r="T218" s="106" t="s">
        <v>111</v>
      </c>
      <c r="U218" s="107" t="s">
        <v>111</v>
      </c>
      <c r="V218" s="107" t="s">
        <v>111</v>
      </c>
      <c r="W218" s="108" t="s">
        <v>111</v>
      </c>
    </row>
    <row r="219" spans="2:23" ht="15.75" customHeight="1" thickBot="1" x14ac:dyDescent="0.4">
      <c r="B219" s="82" t="s">
        <v>186</v>
      </c>
      <c r="C219" s="83" t="s">
        <v>68</v>
      </c>
      <c r="D219" s="83" t="s">
        <v>107</v>
      </c>
      <c r="E219" s="98"/>
      <c r="F219" s="98"/>
      <c r="G219" s="99"/>
      <c r="H219" s="100"/>
      <c r="I219" s="101"/>
      <c r="J219" s="86" t="s">
        <v>112</v>
      </c>
      <c r="K219" s="88" t="str">
        <f>IFERROR(VLOOKUP($D219,$Y$9:$AB$10,2,FALSE)/IF($D219="Inhalation",IF($J219="Central Tendency",SUMIFS('Inhalation Exposure_Short-Term'!$F$7:$F$397,'Inhalation Exposure_Short-Term'!$B$7:$B$397,$B219,'Inhalation Exposure_Short-Term'!$D$7:$D$397,$C219),SUMIFS('Inhalation Exposure_Short-Term'!$G$7:$G$397,'Inhalation Exposure_Short-Term'!$B$7:$B$397,$B219,'Inhalation Exposure_Short-Term'!$D$7:$D$397,$C219)),IF($J219="Central Tendency",VLOOKUP($B219,'Dermal Exposure'!$A$6:$L$19,9,FALSE),VLOOKUP($B219,'Dermal Exposure'!$A$6:$L$19,4,FALSE))),"--")</f>
        <v>--</v>
      </c>
      <c r="L219" s="88">
        <f>IFERROR(VLOOKUP($D219,$Y$9:$AB$10,2,FALSE)/IF($D219="Inhalation",IF($J219="Central Tendency",SUMIFS('Inhalation Exposure_8-hr'!$H$6:$H$411,'Inhalation Exposure_8-hr'!$B$6:$B$411,$B219,'Inhalation Exposure_8-hr'!$D$6:$D$411,$C219),SUMIFS('Inhalation Exposure_8-hr'!$I$6:$I$411,'Inhalation Exposure_8-hr'!$B$6:$B$411,$B219,'Inhalation Exposure_8-hr'!$D$6:$D$411,$C219)),IF($J219="Central Tendency",VLOOKUP($B219,'Dermal Exposure'!$A$6:$L$19,9,FALSE),VLOOKUP($B219,'Dermal Exposure'!$A$6:$L$19,4,FALSE))),"--")</f>
        <v>289.8264748442341</v>
      </c>
      <c r="M219" s="88">
        <f>IFERROR(VLOOKUP($D219,$Y$9:$AB$10,3,FALSE)/IF($D219="Inhalation",IF($J219="Central Tendency",SUMIFS('Inhalation Exposure_8-hr'!$L$6:$L$411,'Inhalation Exposure_8-hr'!$B$6:$B$411,$B219,'Inhalation Exposure_8-hr'!$D$6:$D$411,$C219),SUMIFS('Inhalation Exposure_8-hr'!$M$6:$M$411,'Inhalation Exposure_8-hr'!$B$6:$B$411,$B219,'Inhalation Exposure_8-hr'!$D$6:$D$411,$C219)),IF($J219="Central Tendency",VLOOKUP($B219,'Dermal Exposure'!$A$6:$L$19,10,FALSE),VLOOKUP($B219,'Dermal Exposure'!$A$6:$L$19,5,FALSE))),"--")</f>
        <v>8.5693125556501446</v>
      </c>
      <c r="N219" s="89">
        <f>IFERROR(VLOOKUP($D219,$Y$9:$AB$10,4,FALSE)/IF($D219="Inhalation",IF($J219="Central Tendency",SUMIFS('Inhalation Exposure_8-hr'!$N$6:$N$411,'Inhalation Exposure_8-hr'!$B$6:$B$411,$B219,'Inhalation Exposure_8-hr'!$D$6:$D$411,$C219),SUMIFS('Inhalation Exposure_8-hr'!$O$6:$O$411,'Inhalation Exposure_8-hr'!$B$6:$B$411,$B219,'Inhalation Exposure_8-hr'!$D$6:$D$411,$C219)),IF($J219="Central Tendency",VLOOKUP($B219,'Dermal Exposure'!$A$6:$L$19,11,FALSE),VLOOKUP($B219,'Dermal Exposure'!$A$6:$L$19,6,FALSE))),"--")</f>
        <v>9.1748773095827545</v>
      </c>
      <c r="O219" s="91" t="str">
        <f>IFERROR(K219*T219, "--")</f>
        <v>--</v>
      </c>
      <c r="P219" s="91">
        <f>IFERROR(L219*U219, "--")</f>
        <v>2898.264748442341</v>
      </c>
      <c r="Q219" s="91">
        <f>IFERROR(M219*V219, "--")</f>
        <v>85.693125556501442</v>
      </c>
      <c r="R219" s="91">
        <f>IFERROR(N219*W219, "--")</f>
        <v>91.748773095827545</v>
      </c>
      <c r="T219" s="109">
        <v>10</v>
      </c>
      <c r="U219" s="110">
        <v>10</v>
      </c>
      <c r="V219" s="110">
        <v>10</v>
      </c>
      <c r="W219" s="111">
        <v>10</v>
      </c>
    </row>
    <row r="220" spans="2:23" ht="15" thickBot="1" x14ac:dyDescent="0.4">
      <c r="B220" s="82" t="s">
        <v>186</v>
      </c>
      <c r="C220" s="83" t="s">
        <v>68</v>
      </c>
      <c r="D220" s="83" t="s">
        <v>107</v>
      </c>
      <c r="E220" s="98"/>
      <c r="F220" s="98"/>
      <c r="G220" s="112"/>
      <c r="H220" s="100"/>
      <c r="I220" s="113"/>
      <c r="J220" s="113"/>
      <c r="K220" s="103"/>
      <c r="L220" s="103"/>
      <c r="M220" s="103"/>
      <c r="N220" s="104"/>
      <c r="O220" s="105" t="str">
        <f>CONCATENATE("(APF ",T219,")")</f>
        <v>(APF 10)</v>
      </c>
      <c r="P220" s="105" t="str">
        <f>CONCATENATE("(APF ",U219,")")</f>
        <v>(APF 10)</v>
      </c>
      <c r="Q220" s="105" t="str">
        <f>CONCATENATE("(APF ",V219,")")</f>
        <v>(APF 10)</v>
      </c>
      <c r="R220" s="105" t="str">
        <f>CONCATENATE("(APF ",W219,")")</f>
        <v>(APF 10)</v>
      </c>
      <c r="T220" s="114" t="s">
        <v>111</v>
      </c>
      <c r="U220" s="115" t="s">
        <v>111</v>
      </c>
      <c r="V220" s="115" t="s">
        <v>111</v>
      </c>
      <c r="W220" s="116" t="s">
        <v>111</v>
      </c>
    </row>
    <row r="221" spans="2:23" ht="15" thickBot="1" x14ac:dyDescent="0.4">
      <c r="B221" s="82" t="s">
        <v>532</v>
      </c>
      <c r="C221" s="83" t="s">
        <v>68</v>
      </c>
      <c r="D221" s="83" t="s">
        <v>107</v>
      </c>
      <c r="E221" s="98"/>
      <c r="F221" s="98"/>
      <c r="G221" s="85" t="s">
        <v>535</v>
      </c>
      <c r="H221" s="100"/>
      <c r="I221" s="86" t="s">
        <v>110</v>
      </c>
      <c r="J221" s="86" t="s">
        <v>71</v>
      </c>
      <c r="K221" s="88">
        <f>IFERROR(VLOOKUP($D221,$Y$9:$AB$10,2,FALSE)/IF($D221="Inhalation",IF($J221="Central Tendency",SUMIFS('Inhalation Exposure_Short-Term'!$F$7:$F$397,'Inhalation Exposure_Short-Term'!$B$7:$B$397,$B221,'Inhalation Exposure_Short-Term'!$D$7:$D$397,$C221),SUMIFS('Inhalation Exposure_Short-Term'!$G$7:$G$397,'Inhalation Exposure_Short-Term'!$B$7:$B$397,$B221,'Inhalation Exposure_Short-Term'!$D$7:$D$397,$C221)),IF($J221="Central Tendency",VLOOKUP($B221,'Dermal Exposure'!$A$6:$L$19,9,FALSE),VLOOKUP($B221,'Dermal Exposure'!$A$6:$L$19,4,FALSE))),"--")</f>
        <v>398.00995024875624</v>
      </c>
      <c r="L221" s="88" t="str">
        <f>IFERROR(VLOOKUP($D221,$Y$9:$AB$10,2,FALSE)/IF($D221="Inhalation",IF($J221="Central Tendency",SUMIFS('Inhalation Exposure_8-hr'!$H$6:$H$411,'Inhalation Exposure_8-hr'!$B$6:$B$411,$B221,'Inhalation Exposure_8-hr'!$D$6:$D$411,$C221),SUMIFS('Inhalation Exposure_8-hr'!$I$6:$I$411,'Inhalation Exposure_8-hr'!$B$6:$B$411,$B221,'Inhalation Exposure_8-hr'!$D$6:$D$411,$C221)),IF($J221="Central Tendency",VLOOKUP($B221,'Dermal Exposure'!$A$6:$L$19,9,FALSE),VLOOKUP($B221,'Dermal Exposure'!$A$6:$L$19,4,FALSE))),"--")</f>
        <v>--</v>
      </c>
      <c r="M221" s="88" t="str">
        <f>IFERROR(VLOOKUP($D221,$Y$9:$AB$10,3,FALSE)/IF($D221="Inhalation",IF($J221="Central Tendency",SUMIFS('Inhalation Exposure_8-hr'!$L$6:$L$411,'Inhalation Exposure_8-hr'!$B$6:$B$411,$B221,'Inhalation Exposure_8-hr'!$D$6:$D$411,$C221),SUMIFS('Inhalation Exposure_8-hr'!$M$6:$M$411,'Inhalation Exposure_8-hr'!$B$6:$B$411,$B221,'Inhalation Exposure_8-hr'!$D$6:$D$411,$C221)),IF($J221="Central Tendency",VLOOKUP($B221,'Dermal Exposure'!$A$6:$L$19,10,FALSE),VLOOKUP($B221,'Dermal Exposure'!$A$6:$L$19,5,FALSE))),"--")</f>
        <v>--</v>
      </c>
      <c r="N221" s="89" t="str">
        <f>IFERROR(VLOOKUP($D221,$Y$9:$AB$10,4,FALSE)/IF($D221="Inhalation",IF($J221="Central Tendency",SUMIFS('Inhalation Exposure_8-hr'!$N$6:$N$411,'Inhalation Exposure_8-hr'!$B$6:$B$411,$B221,'Inhalation Exposure_8-hr'!$D$6:$D$411,$C221),SUMIFS('Inhalation Exposure_8-hr'!$O$6:$O$411,'Inhalation Exposure_8-hr'!$B$6:$B$411,$B221,'Inhalation Exposure_8-hr'!$D$6:$D$411,$C221)),IF($J221="Central Tendency",VLOOKUP($B221,'Dermal Exposure'!$A$6:$L$19,11,FALSE),VLOOKUP($B221,'Dermal Exposure'!$A$6:$L$19,6,FALSE))),"--")</f>
        <v>--</v>
      </c>
      <c r="O221" s="91">
        <f>IFERROR(K221*T221, "--")</f>
        <v>3980.0995024875624</v>
      </c>
      <c r="P221" s="91" t="str">
        <f>IFERROR(L221*U221, "--")</f>
        <v>--</v>
      </c>
      <c r="Q221" s="91" t="str">
        <f>IFERROR(M221*V221, "--")</f>
        <v>--</v>
      </c>
      <c r="R221" s="91" t="str">
        <f>IFERROR(N221*W221, "--")</f>
        <v>--</v>
      </c>
      <c r="T221" s="92">
        <v>10</v>
      </c>
      <c r="U221" s="93">
        <v>10</v>
      </c>
      <c r="V221" s="93">
        <v>10</v>
      </c>
      <c r="W221" s="94">
        <v>50</v>
      </c>
    </row>
    <row r="222" spans="2:23" ht="15" thickBot="1" x14ac:dyDescent="0.4">
      <c r="B222" s="82" t="s">
        <v>532</v>
      </c>
      <c r="C222" s="83" t="s">
        <v>68</v>
      </c>
      <c r="D222" s="83" t="s">
        <v>107</v>
      </c>
      <c r="E222" s="98"/>
      <c r="F222" s="98"/>
      <c r="G222" s="99"/>
      <c r="H222" s="100"/>
      <c r="I222" s="101"/>
      <c r="J222" s="113"/>
      <c r="K222" s="103"/>
      <c r="L222" s="103"/>
      <c r="M222" s="103"/>
      <c r="N222" s="104"/>
      <c r="O222" s="105" t="str">
        <f>CONCATENATE("(APF ",T221,")")</f>
        <v>(APF 10)</v>
      </c>
      <c r="P222" s="105" t="str">
        <f>CONCATENATE("(APF ",U221,")")</f>
        <v>(APF 10)</v>
      </c>
      <c r="Q222" s="105" t="str">
        <f>CONCATENATE("(APF ",V221,")")</f>
        <v>(APF 10)</v>
      </c>
      <c r="R222" s="105" t="str">
        <f>CONCATENATE("(APF ",W221,")")</f>
        <v>(APF 50)</v>
      </c>
      <c r="T222" s="106" t="s">
        <v>111</v>
      </c>
      <c r="U222" s="107" t="s">
        <v>111</v>
      </c>
      <c r="V222" s="107" t="s">
        <v>111</v>
      </c>
      <c r="W222" s="108" t="s">
        <v>111</v>
      </c>
    </row>
    <row r="223" spans="2:23" ht="15" thickBot="1" x14ac:dyDescent="0.4">
      <c r="B223" s="82" t="s">
        <v>532</v>
      </c>
      <c r="C223" s="83" t="s">
        <v>68</v>
      </c>
      <c r="D223" s="83" t="s">
        <v>107</v>
      </c>
      <c r="E223" s="98"/>
      <c r="F223" s="98"/>
      <c r="G223" s="99"/>
      <c r="H223" s="100"/>
      <c r="I223" s="101"/>
      <c r="J223" s="86" t="s">
        <v>112</v>
      </c>
      <c r="K223" s="88">
        <f>IFERROR(VLOOKUP($D223,$Y$9:$AB$10,2,FALSE)/IF($D223="Inhalation",IF($J223="Central Tendency",SUMIFS('Inhalation Exposure_Short-Term'!$F$7:$F$397,'Inhalation Exposure_Short-Term'!$B$7:$B$397,$B223,'Inhalation Exposure_Short-Term'!$D$7:$D$397,$C223),SUMIFS('Inhalation Exposure_Short-Term'!$G$7:$G$397,'Inhalation Exposure_Short-Term'!$B$7:$B$397,$B223,'Inhalation Exposure_Short-Term'!$D$7:$D$397,$C223)),IF($J223="Central Tendency",VLOOKUP($B223,'Dermal Exposure'!$A$6:$L$19,9,FALSE),VLOOKUP($B223,'Dermal Exposure'!$A$6:$L$19,4,FALSE))),"--")</f>
        <v>216.62604928242627</v>
      </c>
      <c r="L223" s="88" t="str">
        <f>IFERROR(VLOOKUP($D223,$Y$9:$AB$10,2,FALSE)/IF($D223="Inhalation",IF($J223="Central Tendency",SUMIFS('Inhalation Exposure_8-hr'!$H$6:$H$411,'Inhalation Exposure_8-hr'!$B$6:$B$411,$B223,'Inhalation Exposure_8-hr'!$D$6:$D$411,$C223),SUMIFS('Inhalation Exposure_8-hr'!$I$6:$I$411,'Inhalation Exposure_8-hr'!$B$6:$B$411,$B223,'Inhalation Exposure_8-hr'!$D$6:$D$411,$C223)),IF($J223="Central Tendency",VLOOKUP($B223,'Dermal Exposure'!$A$6:$L$19,9,FALSE),VLOOKUP($B223,'Dermal Exposure'!$A$6:$L$19,4,FALSE))),"--")</f>
        <v>--</v>
      </c>
      <c r="M223" s="88" t="str">
        <f>IFERROR(VLOOKUP($D223,$Y$9:$AB$10,3,FALSE)/IF($D223="Inhalation",IF($J223="Central Tendency",SUMIFS('Inhalation Exposure_8-hr'!$L$6:$L$411,'Inhalation Exposure_8-hr'!$B$6:$B$411,$B223,'Inhalation Exposure_8-hr'!$D$6:$D$411,$C223),SUMIFS('Inhalation Exposure_8-hr'!$M$6:$M$411,'Inhalation Exposure_8-hr'!$B$6:$B$411,$B223,'Inhalation Exposure_8-hr'!$D$6:$D$411,$C223)),IF($J223="Central Tendency",VLOOKUP($B223,'Dermal Exposure'!$A$6:$L$19,10,FALSE),VLOOKUP($B223,'Dermal Exposure'!$A$6:$L$19,5,FALSE))),"--")</f>
        <v>--</v>
      </c>
      <c r="N223" s="89" t="str">
        <f>IFERROR(VLOOKUP($D223,$Y$9:$AB$10,4,FALSE)/IF($D223="Inhalation",IF($J223="Central Tendency",SUMIFS('Inhalation Exposure_8-hr'!$N$6:$N$411,'Inhalation Exposure_8-hr'!$B$6:$B$411,$B223,'Inhalation Exposure_8-hr'!$D$6:$D$411,$C223),SUMIFS('Inhalation Exposure_8-hr'!$O$6:$O$411,'Inhalation Exposure_8-hr'!$B$6:$B$411,$B223,'Inhalation Exposure_8-hr'!$D$6:$D$411,$C223)),IF($J223="Central Tendency",VLOOKUP($B223,'Dermal Exposure'!$A$6:$L$19,11,FALSE),VLOOKUP($B223,'Dermal Exposure'!$A$6:$L$19,6,FALSE))),"--")</f>
        <v>--</v>
      </c>
      <c r="O223" s="91">
        <f>IFERROR(K223*T223, "--")</f>
        <v>2166.2604928242627</v>
      </c>
      <c r="P223" s="91" t="str">
        <f>IFERROR(L223*U223, "--")</f>
        <v>--</v>
      </c>
      <c r="Q223" s="91" t="str">
        <f>IFERROR(M223*V223, "--")</f>
        <v>--</v>
      </c>
      <c r="R223" s="91" t="str">
        <f>IFERROR(N223*W223, "--")</f>
        <v>--</v>
      </c>
      <c r="T223" s="109">
        <v>10</v>
      </c>
      <c r="U223" s="110">
        <v>10</v>
      </c>
      <c r="V223" s="110">
        <v>10</v>
      </c>
      <c r="W223" s="111">
        <v>10</v>
      </c>
    </row>
    <row r="224" spans="2:23" ht="15" thickBot="1" x14ac:dyDescent="0.4">
      <c r="B224" s="82" t="s">
        <v>532</v>
      </c>
      <c r="C224" s="83" t="s">
        <v>68</v>
      </c>
      <c r="D224" s="83" t="s">
        <v>107</v>
      </c>
      <c r="E224" s="98"/>
      <c r="F224" s="98"/>
      <c r="G224" s="112"/>
      <c r="H224" s="118"/>
      <c r="I224" s="113"/>
      <c r="J224" s="113"/>
      <c r="K224" s="103"/>
      <c r="L224" s="103"/>
      <c r="M224" s="103"/>
      <c r="N224" s="104"/>
      <c r="O224" s="105" t="str">
        <f>CONCATENATE("(APF ",T223,")")</f>
        <v>(APF 10)</v>
      </c>
      <c r="P224" s="105" t="str">
        <f>CONCATENATE("(APF ",U223,")")</f>
        <v>(APF 10)</v>
      </c>
      <c r="Q224" s="105" t="str">
        <f>CONCATENATE("(APF ",V223,")")</f>
        <v>(APF 10)</v>
      </c>
      <c r="R224" s="105" t="str">
        <f>CONCATENATE("(APF ",W223,")")</f>
        <v>(APF 10)</v>
      </c>
      <c r="T224" s="114" t="s">
        <v>111</v>
      </c>
      <c r="U224" s="115" t="s">
        <v>111</v>
      </c>
      <c r="V224" s="115" t="s">
        <v>111</v>
      </c>
      <c r="W224" s="116" t="s">
        <v>111</v>
      </c>
    </row>
    <row r="225" spans="2:23" ht="15.75" customHeight="1" thickBot="1" x14ac:dyDescent="0.4">
      <c r="B225" s="82" t="s">
        <v>510</v>
      </c>
      <c r="C225" s="83" t="s">
        <v>80</v>
      </c>
      <c r="D225" s="83" t="s">
        <v>107</v>
      </c>
      <c r="E225" s="98"/>
      <c r="F225" s="98"/>
      <c r="G225" s="85" t="s">
        <v>513</v>
      </c>
      <c r="H225" s="86" t="s">
        <v>80</v>
      </c>
      <c r="I225" s="86" t="s">
        <v>110</v>
      </c>
      <c r="J225" s="86" t="s">
        <v>71</v>
      </c>
      <c r="K225" s="88" t="str">
        <f>IFERROR(VLOOKUP($D225,$Y$9:$AB$10,2,FALSE)/IF($D225="Inhalation",IF($J225="Central Tendency",SUMIFS('Inhalation Exposure_Short-Term'!$F$7:$F$397,'Inhalation Exposure_Short-Term'!$B$7:$B$397,$B225,'Inhalation Exposure_Short-Term'!$D$7:$D$397,$C225),SUMIFS('Inhalation Exposure_Short-Term'!$G$7:$G$397,'Inhalation Exposure_Short-Term'!$B$7:$B$397,$B225,'Inhalation Exposure_Short-Term'!$D$7:$D$397,$C225)),IF($J225="Central Tendency",VLOOKUP($B225,'Dermal Exposure'!$A$6:$L$19,9,FALSE),VLOOKUP($B225,'Dermal Exposure'!$A$6:$L$19,4,FALSE))),"--")</f>
        <v>--</v>
      </c>
      <c r="L225" s="88">
        <f>IFERROR(VLOOKUP($D225,$Y$9:$AB$10,2,FALSE)/IF($D225="Inhalation",IF($J225="Central Tendency",SUMIFS('Inhalation Exposure_8-hr'!$H$6:$H$411,'Inhalation Exposure_8-hr'!$B$6:$B$411,$B225,'Inhalation Exposure_8-hr'!$D$6:$D$411,$C225),SUMIFS('Inhalation Exposure_8-hr'!$I$6:$I$411,'Inhalation Exposure_8-hr'!$B$6:$B$411,$B225,'Inhalation Exposure_8-hr'!$D$6:$D$411,$C225)),IF($J225="Central Tendency",VLOOKUP($B225,'Dermal Exposure'!$A$6:$L$19,9,FALSE),VLOOKUP($B225,'Dermal Exposure'!$A$6:$L$19,4,FALSE))),"--")</f>
        <v>25269.597535829751</v>
      </c>
      <c r="M225" s="88">
        <f>IFERROR(VLOOKUP($D225,$Y$9:$AB$10,3,FALSE)/IF($D225="Inhalation",IF($J225="Central Tendency",SUMIFS('Inhalation Exposure_8-hr'!$L$6:$L$411,'Inhalation Exposure_8-hr'!$B$6:$B$411,$B225,'Inhalation Exposure_8-hr'!$D$6:$D$411,$C225),SUMIFS('Inhalation Exposure_8-hr'!$M$6:$M$411,'Inhalation Exposure_8-hr'!$B$6:$B$411,$B225,'Inhalation Exposure_8-hr'!$D$6:$D$411,$C225)),IF($J225="Central Tendency",VLOOKUP($B225,'Dermal Exposure'!$A$6:$L$19,10,FALSE),VLOOKUP($B225,'Dermal Exposure'!$A$6:$L$19,5,FALSE))),"--")</f>
        <v>747.147338959948</v>
      </c>
      <c r="N225" s="89">
        <f>IFERROR(VLOOKUP($D225,$Y$9:$AB$10,4,FALSE)/IF($D225="Inhalation",IF($J225="Central Tendency",SUMIFS('Inhalation Exposure_8-hr'!$N$6:$N$411,'Inhalation Exposure_8-hr'!$B$6:$B$411,$B225,'Inhalation Exposure_8-hr'!$D$6:$D$411,$C225),SUMIFS('Inhalation Exposure_8-hr'!$O$6:$O$411,'Inhalation Exposure_8-hr'!$B$6:$B$411,$B225,'Inhalation Exposure_8-hr'!$D$6:$D$411,$C225)),IF($J225="Central Tendency",VLOOKUP($B225,'Dermal Exposure'!$A$6:$L$19,11,FALSE),VLOOKUP($B225,'Dermal Exposure'!$A$6:$L$19,6,FALSE))),"--")</f>
        <v>799.94575091311765</v>
      </c>
      <c r="O225" s="91" t="str">
        <f>IFERROR(K225*T225, "--")</f>
        <v>--</v>
      </c>
      <c r="P225" s="91">
        <f>IFERROR(L225*U225, "--")</f>
        <v>252695.97535829752</v>
      </c>
      <c r="Q225" s="91">
        <f>IFERROR(M225*V225, "--")</f>
        <v>7471.4733895994796</v>
      </c>
      <c r="R225" s="91">
        <f>IFERROR(N225*W225, "--")</f>
        <v>7999.4575091311763</v>
      </c>
      <c r="T225" s="92">
        <v>10</v>
      </c>
      <c r="U225" s="93">
        <v>10</v>
      </c>
      <c r="V225" s="93">
        <v>10</v>
      </c>
      <c r="W225" s="94">
        <v>10</v>
      </c>
    </row>
    <row r="226" spans="2:23" ht="15" thickBot="1" x14ac:dyDescent="0.4">
      <c r="B226" s="82" t="s">
        <v>510</v>
      </c>
      <c r="C226" s="83" t="s">
        <v>80</v>
      </c>
      <c r="D226" s="83" t="s">
        <v>107</v>
      </c>
      <c r="E226" s="98"/>
      <c r="F226" s="98"/>
      <c r="G226" s="99"/>
      <c r="H226" s="101"/>
      <c r="I226" s="101"/>
      <c r="J226" s="113"/>
      <c r="K226" s="103"/>
      <c r="L226" s="103"/>
      <c r="M226" s="103"/>
      <c r="N226" s="104"/>
      <c r="O226" s="105" t="str">
        <f>CONCATENATE("(APF ",T225,")")</f>
        <v>(APF 10)</v>
      </c>
      <c r="P226" s="105" t="str">
        <f>CONCATENATE("(APF ",U225,")")</f>
        <v>(APF 10)</v>
      </c>
      <c r="Q226" s="105" t="str">
        <f>CONCATENATE("(APF ",V225,")")</f>
        <v>(APF 10)</v>
      </c>
      <c r="R226" s="105" t="str">
        <f>CONCATENATE("(APF ",W225,")")</f>
        <v>(APF 10)</v>
      </c>
      <c r="T226" s="106" t="s">
        <v>111</v>
      </c>
      <c r="U226" s="107" t="s">
        <v>111</v>
      </c>
      <c r="V226" s="107" t="s">
        <v>111</v>
      </c>
      <c r="W226" s="108" t="s">
        <v>111</v>
      </c>
    </row>
    <row r="227" spans="2:23" ht="15.75" customHeight="1" thickBot="1" x14ac:dyDescent="0.4">
      <c r="B227" s="82" t="s">
        <v>510</v>
      </c>
      <c r="C227" s="83" t="s">
        <v>80</v>
      </c>
      <c r="D227" s="83" t="s">
        <v>107</v>
      </c>
      <c r="E227" s="98"/>
      <c r="F227" s="98"/>
      <c r="G227" s="99"/>
      <c r="H227" s="101"/>
      <c r="I227" s="101"/>
      <c r="J227" s="86" t="s">
        <v>112</v>
      </c>
      <c r="K227" s="88" t="str">
        <f>IFERROR(VLOOKUP($D227,$Y$9:$AB$10,2,FALSE)/IF($D227="Inhalation",IF($J227="Central Tendency",SUMIFS('Inhalation Exposure_Short-Term'!$F$7:$F$397,'Inhalation Exposure_Short-Term'!$B$7:$B$397,$B227,'Inhalation Exposure_Short-Term'!$D$7:$D$397,$C227),SUMIFS('Inhalation Exposure_Short-Term'!$G$7:$G$397,'Inhalation Exposure_Short-Term'!$B$7:$B$397,$B227,'Inhalation Exposure_Short-Term'!$D$7:$D$397,$C227)),IF($J227="Central Tendency",VLOOKUP($B227,'Dermal Exposure'!$A$6:$L$19,9,FALSE),VLOOKUP($B227,'Dermal Exposure'!$A$6:$L$19,4,FALSE))),"--")</f>
        <v>--</v>
      </c>
      <c r="L227" s="88">
        <f>IFERROR(VLOOKUP($D227,$Y$9:$AB$10,2,FALSE)/IF($D227="Inhalation",IF($J227="Central Tendency",SUMIFS('Inhalation Exposure_8-hr'!$H$6:$H$411,'Inhalation Exposure_8-hr'!$B$6:$B$411,$B227,'Inhalation Exposure_8-hr'!$D$6:$D$411,$C227),SUMIFS('Inhalation Exposure_8-hr'!$I$6:$I$411,'Inhalation Exposure_8-hr'!$B$6:$B$411,$B227,'Inhalation Exposure_8-hr'!$D$6:$D$411,$C227)),IF($J227="Central Tendency",VLOOKUP($B227,'Dermal Exposure'!$A$6:$L$19,9,FALSE),VLOOKUP($B227,'Dermal Exposure'!$A$6:$L$19,4,FALSE))),"--")</f>
        <v>16871.600748379238</v>
      </c>
      <c r="M227" s="88">
        <f>IFERROR(VLOOKUP($D227,$Y$9:$AB$10,3,FALSE)/IF($D227="Inhalation",IF($J227="Central Tendency",SUMIFS('Inhalation Exposure_8-hr'!$L$6:$L$411,'Inhalation Exposure_8-hr'!$B$6:$B$411,$B227,'Inhalation Exposure_8-hr'!$D$6:$D$411,$C227),SUMIFS('Inhalation Exposure_8-hr'!$M$6:$M$411,'Inhalation Exposure_8-hr'!$B$6:$B$411,$B227,'Inhalation Exposure_8-hr'!$D$6:$D$411,$C227)),IF($J227="Central Tendency",VLOOKUP($B227,'Dermal Exposure'!$A$6:$L$19,10,FALSE),VLOOKUP($B227,'Dermal Exposure'!$A$6:$L$19,5,FALSE))),"--")</f>
        <v>498.84338621827209</v>
      </c>
      <c r="N227" s="89">
        <f>IFERROR(VLOOKUP($D227,$Y$9:$AB$10,4,FALSE)/IF($D227="Inhalation",IF($J227="Central Tendency",SUMIFS('Inhalation Exposure_8-hr'!$N$6:$N$411,'Inhalation Exposure_8-hr'!$B$6:$B$411,$B227,'Inhalation Exposure_8-hr'!$D$6:$D$411,$C227),SUMIFS('Inhalation Exposure_8-hr'!$O$6:$O$411,'Inhalation Exposure_8-hr'!$B$6:$B$411,$B227,'Inhalation Exposure_8-hr'!$D$6:$D$411,$C227)),IF($J227="Central Tendency",VLOOKUP($B227,'Dermal Exposure'!$A$6:$L$19,11,FALSE),VLOOKUP($B227,'Dermal Exposure'!$A$6:$L$19,6,FALSE))),"--")</f>
        <v>534.0949855110299</v>
      </c>
      <c r="O227" s="91" t="str">
        <f>IFERROR(K227*T227, "--")</f>
        <v>--</v>
      </c>
      <c r="P227" s="91">
        <f>IFERROR(L227*U227, "--")</f>
        <v>168716.00748379237</v>
      </c>
      <c r="Q227" s="91">
        <f>IFERROR(M227*V227, "--")</f>
        <v>4988.433862182721</v>
      </c>
      <c r="R227" s="91">
        <f>IFERROR(N227*W227, "--")</f>
        <v>5340.9498551102988</v>
      </c>
      <c r="T227" s="109">
        <v>10</v>
      </c>
      <c r="U227" s="110">
        <v>10</v>
      </c>
      <c r="V227" s="110">
        <v>10</v>
      </c>
      <c r="W227" s="111">
        <v>10</v>
      </c>
    </row>
    <row r="228" spans="2:23" ht="15" thickBot="1" x14ac:dyDescent="0.4">
      <c r="B228" s="82" t="s">
        <v>510</v>
      </c>
      <c r="C228" s="83" t="s">
        <v>80</v>
      </c>
      <c r="D228" s="83" t="s">
        <v>107</v>
      </c>
      <c r="E228" s="98"/>
      <c r="F228" s="98"/>
      <c r="G228" s="112"/>
      <c r="H228" s="113"/>
      <c r="I228" s="113"/>
      <c r="J228" s="113"/>
      <c r="K228" s="103"/>
      <c r="L228" s="103"/>
      <c r="M228" s="103"/>
      <c r="N228" s="104"/>
      <c r="O228" s="105" t="str">
        <f>CONCATENATE("(APF ",T227,")")</f>
        <v>(APF 10)</v>
      </c>
      <c r="P228" s="105" t="str">
        <f>CONCATENATE("(APF ",U227,")")</f>
        <v>(APF 10)</v>
      </c>
      <c r="Q228" s="105" t="str">
        <f>CONCATENATE("(APF ",V227,")")</f>
        <v>(APF 10)</v>
      </c>
      <c r="R228" s="105" t="str">
        <f>CONCATENATE("(APF ",W227,")")</f>
        <v>(APF 10)</v>
      </c>
      <c r="T228" s="114" t="s">
        <v>111</v>
      </c>
      <c r="U228" s="115" t="s">
        <v>111</v>
      </c>
      <c r="V228" s="115" t="s">
        <v>111</v>
      </c>
      <c r="W228" s="116" t="s">
        <v>111</v>
      </c>
    </row>
    <row r="229" spans="2:23" ht="16.5" customHeight="1" thickBot="1" x14ac:dyDescent="0.4">
      <c r="B229" s="82">
        <v>8</v>
      </c>
      <c r="C229" s="83" t="s">
        <v>68</v>
      </c>
      <c r="D229" s="83" t="s">
        <v>58</v>
      </c>
      <c r="E229" s="98"/>
      <c r="F229" s="98"/>
      <c r="G229" s="85" t="s">
        <v>196</v>
      </c>
      <c r="H229" s="86" t="s">
        <v>68</v>
      </c>
      <c r="I229" s="101" t="s">
        <v>58</v>
      </c>
      <c r="J229" s="86" t="s">
        <v>71</v>
      </c>
      <c r="K229" s="88" t="s">
        <v>86</v>
      </c>
      <c r="L229" s="88" t="s">
        <v>86</v>
      </c>
      <c r="M229" s="88">
        <f>IFERROR(VLOOKUP($D229,$Y$9:$AB$10,3,FALSE)/IF($D229="Inhalation",IF($J229="Central Tendency",SUMIFS('Inhalation Exposure_8-hr'!$L$6:$L$411,'Inhalation Exposure_8-hr'!$B$6:$B$411,$B229,'Inhalation Exposure_8-hr'!$D$6:$D$411,$C229),SUMIFS('Inhalation Exposure_8-hr'!$M$6:$M$411,'Inhalation Exposure_8-hr'!$B$6:$B$411,$B229,'Inhalation Exposure_8-hr'!$D$6:$D$411,$C229)),IF($J229="Central Tendency",VLOOKUP($B229,'Dermal Exposure'!$A$6:$L$19,5,FALSE),VLOOKUP($B229,'Dermal Exposure'!$A$6:$L$19,10,FALSE))),"--")</f>
        <v>860.88607909701534</v>
      </c>
      <c r="N229" s="89">
        <f>IFERROR(VLOOKUP($D229,$Y$9:$AB$10,4,FALSE)/IF($D229="Inhalation",IF($J229="Central Tendency",SUMIFS('Inhalation Exposure_8-hr'!$N$6:$N$411,'Inhalation Exposure_8-hr'!$B$6:$B$411,$B229,'Inhalation Exposure_8-hr'!$D$6:$D$411,$C229),SUMIFS('Inhalation Exposure_8-hr'!$O$6:$O$411,'Inhalation Exposure_8-hr'!$B$6:$B$411,$B229,'Inhalation Exposure_8-hr'!$D$6:$D$411,$C229)),IF($J229="Central Tendency",VLOOKUP($B229,'Dermal Exposure'!$A$6:$L$19,6,FALSE),VLOOKUP($B229,'Dermal Exposure'!$A$6:$L$19,11,FALSE))),"--")</f>
        <v>921.7220286865379</v>
      </c>
      <c r="O229" s="91" t="str">
        <f>IFERROR(K229*T229, "--")</f>
        <v>--</v>
      </c>
      <c r="P229" s="91" t="str">
        <f>IFERROR(L229*U229, "--")</f>
        <v>--</v>
      </c>
      <c r="Q229" s="91">
        <f>IFERROR(M229*V229, "--")</f>
        <v>4304.4303954850766</v>
      </c>
      <c r="R229" s="91">
        <f>IFERROR(N229*W229, "--")</f>
        <v>4608.6101434326893</v>
      </c>
      <c r="T229" s="92">
        <v>5</v>
      </c>
      <c r="U229" s="93">
        <v>5</v>
      </c>
      <c r="V229" s="93">
        <v>5</v>
      </c>
      <c r="W229" s="94">
        <v>5</v>
      </c>
    </row>
    <row r="230" spans="2:23" ht="15" thickBot="1" x14ac:dyDescent="0.4">
      <c r="B230" s="82">
        <v>8</v>
      </c>
      <c r="C230" s="83" t="s">
        <v>68</v>
      </c>
      <c r="D230" s="83" t="s">
        <v>58</v>
      </c>
      <c r="E230" s="98"/>
      <c r="F230" s="98"/>
      <c r="G230" s="99"/>
      <c r="H230" s="100"/>
      <c r="I230" s="101"/>
      <c r="J230" s="113"/>
      <c r="K230" s="103"/>
      <c r="L230" s="103"/>
      <c r="M230" s="103"/>
      <c r="N230" s="104"/>
      <c r="O230" s="105" t="str">
        <f>CONCATENATE("(PF ",T229,")")</f>
        <v>(PF 5)</v>
      </c>
      <c r="P230" s="105" t="str">
        <f>CONCATENATE("(PF ",U229,")")</f>
        <v>(PF 5)</v>
      </c>
      <c r="Q230" s="105" t="str">
        <f>CONCATENATE("(PF ",V229,")")</f>
        <v>(PF 5)</v>
      </c>
      <c r="R230" s="105" t="str">
        <f>CONCATENATE("(PF ",W229,")")</f>
        <v>(PF 5)</v>
      </c>
      <c r="T230" s="106" t="s">
        <v>118</v>
      </c>
      <c r="U230" s="107" t="s">
        <v>118</v>
      </c>
      <c r="V230" s="107" t="s">
        <v>118</v>
      </c>
      <c r="W230" s="108" t="s">
        <v>118</v>
      </c>
    </row>
    <row r="231" spans="2:23" ht="15" customHeight="1" thickBot="1" x14ac:dyDescent="0.4">
      <c r="B231" s="82">
        <v>8</v>
      </c>
      <c r="C231" s="83" t="s">
        <v>68</v>
      </c>
      <c r="D231" s="83" t="s">
        <v>58</v>
      </c>
      <c r="E231" s="98"/>
      <c r="F231" s="98"/>
      <c r="G231" s="99"/>
      <c r="H231" s="100"/>
      <c r="I231" s="101"/>
      <c r="J231" s="86" t="s">
        <v>112</v>
      </c>
      <c r="K231" s="88" t="s">
        <v>86</v>
      </c>
      <c r="L231" s="88" t="s">
        <v>86</v>
      </c>
      <c r="M231" s="88">
        <f>IFERROR(VLOOKUP($D231,$Y$9:$AB$10,3,FALSE)/IF($D231="Inhalation",IF($J231="Central Tendency",SUMIFS('Inhalation Exposure_8-hr'!$L$6:$L$411,'Inhalation Exposure_8-hr'!$B$6:$B$411,$B231,'Inhalation Exposure_8-hr'!$D$6:$D$411,$C231),SUMIFS('Inhalation Exposure_8-hr'!$M$6:$M$411,'Inhalation Exposure_8-hr'!$B$6:$B$411,$B231,'Inhalation Exposure_8-hr'!$D$6:$D$411,$C231)),IF($J231="Central Tendency",VLOOKUP($B231,'Dermal Exposure'!$A$6:$L$19,5,FALSE),VLOOKUP($B231,'Dermal Exposure'!$A$6:$L$19,10,FALSE))),"--")</f>
        <v>198.35990787866862</v>
      </c>
      <c r="N231" s="89">
        <f>IFERROR(VLOOKUP($D231,$Y$9:$AB$10,4,FALSE)/IF($D231="Inhalation",IF($J231="Central Tendency",SUMIFS('Inhalation Exposure_8-hr'!$N$6:$N$411,'Inhalation Exposure_8-hr'!$B$6:$B$411,$B231,'Inhalation Exposure_8-hr'!$D$6:$D$411,$C231),SUMIFS('Inhalation Exposure_8-hr'!$O$6:$O$411,'Inhalation Exposure_8-hr'!$B$6:$B$411,$B231,'Inhalation Exposure_8-hr'!$D$6:$D$411,$C231)),IF($J231="Central Tendency",VLOOKUP($B231,'Dermal Exposure'!$A$6:$L$19,6,FALSE),VLOOKUP($B231,'Dermal Exposure'!$A$6:$L$19,11,FALSE))),"--")</f>
        <v>212.37734136876122</v>
      </c>
      <c r="O231" s="91" t="str">
        <f>IFERROR(K231*T231, "--")</f>
        <v>--</v>
      </c>
      <c r="P231" s="91" t="str">
        <f>IFERROR(L231*U231, "--")</f>
        <v>--</v>
      </c>
      <c r="Q231" s="91">
        <f>IFERROR(M231*V231, "--")</f>
        <v>991.79953939334314</v>
      </c>
      <c r="R231" s="91">
        <f>IFERROR(N231*W231, "--")</f>
        <v>1061.8867068438062</v>
      </c>
      <c r="T231" s="109">
        <v>5</v>
      </c>
      <c r="U231" s="110">
        <v>5</v>
      </c>
      <c r="V231" s="110">
        <v>5</v>
      </c>
      <c r="W231" s="111">
        <v>5</v>
      </c>
    </row>
    <row r="232" spans="2:23" ht="15" thickBot="1" x14ac:dyDescent="0.4">
      <c r="B232" s="82">
        <v>8</v>
      </c>
      <c r="C232" s="83" t="s">
        <v>68</v>
      </c>
      <c r="D232" s="83" t="s">
        <v>58</v>
      </c>
      <c r="E232" s="98"/>
      <c r="F232" s="98"/>
      <c r="G232" s="112"/>
      <c r="H232" s="100"/>
      <c r="I232" s="113"/>
      <c r="J232" s="113"/>
      <c r="K232" s="103"/>
      <c r="L232" s="103"/>
      <c r="M232" s="103"/>
      <c r="N232" s="104"/>
      <c r="O232" s="105" t="str">
        <f>CONCATENATE("(PF ",T231,")")</f>
        <v>(PF 5)</v>
      </c>
      <c r="P232" s="105" t="str">
        <f>CONCATENATE("(PF ",U231,")")</f>
        <v>(PF 5)</v>
      </c>
      <c r="Q232" s="105" t="str">
        <f>CONCATENATE("(PF ",V231,")")</f>
        <v>(PF 5)</v>
      </c>
      <c r="R232" s="105" t="str">
        <f>CONCATENATE("(PF ",W231,")")</f>
        <v>(PF 5)</v>
      </c>
      <c r="T232" s="114" t="s">
        <v>118</v>
      </c>
      <c r="U232" s="115" t="s">
        <v>118</v>
      </c>
      <c r="V232" s="115" t="s">
        <v>118</v>
      </c>
      <c r="W232" s="116" t="s">
        <v>118</v>
      </c>
    </row>
    <row r="233" spans="2:23" ht="15.75" customHeight="1" thickBot="1" x14ac:dyDescent="0.4">
      <c r="B233" s="82" t="s">
        <v>188</v>
      </c>
      <c r="C233" s="83" t="s">
        <v>68</v>
      </c>
      <c r="D233" s="83" t="s">
        <v>107</v>
      </c>
      <c r="E233" s="84" t="s">
        <v>184</v>
      </c>
      <c r="F233" s="84" t="s">
        <v>185</v>
      </c>
      <c r="G233" s="85" t="s">
        <v>335</v>
      </c>
      <c r="H233" s="86" t="s">
        <v>68</v>
      </c>
      <c r="I233" s="86" t="s">
        <v>110</v>
      </c>
      <c r="J233" s="86" t="s">
        <v>71</v>
      </c>
      <c r="K233" s="88">
        <f>IFERROR(VLOOKUP($D233,$Y$9:$AB$10,2,FALSE)/IF($D233="Inhalation",IF($J233="Central Tendency",SUMIFS('Inhalation Exposure_Short-Term'!$F$7:$F$397,'Inhalation Exposure_Short-Term'!$B$7:$B$397,$B233,'Inhalation Exposure_Short-Term'!$D$7:$D$397,$C233),SUMIFS('Inhalation Exposure_Short-Term'!$G$7:$G$397,'Inhalation Exposure_Short-Term'!$B$7:$B$397,$B233,'Inhalation Exposure_Short-Term'!$D$7:$D$397,$C233)),IF($J233="Central Tendency",VLOOKUP($B233,'Dermal Exposure'!$A$6:$L$19,9,FALSE),VLOOKUP($B233,'Dermal Exposure'!$A$6:$L$19,4,FALSE))),"--")</f>
        <v>514.61031583730971</v>
      </c>
      <c r="L233" s="88">
        <f>IFERROR(VLOOKUP($D233,$Y$9:$AB$10,2,FALSE)/IF($D233="Inhalation",IF($J233="Central Tendency",SUMIFS('Inhalation Exposure_8-hr'!$H$6:$H$411,'Inhalation Exposure_8-hr'!$B$6:$B$411,$B233,'Inhalation Exposure_8-hr'!$D$6:$D$411,$C233),SUMIFS('Inhalation Exposure_8-hr'!$I$6:$I$411,'Inhalation Exposure_8-hr'!$B$6:$B$411,$B233,'Inhalation Exposure_8-hr'!$D$6:$D$411,$C233)),IF($J233="Central Tendency",VLOOKUP($B233,'Dermal Exposure'!$A$6:$L$19,9,FALSE),VLOOKUP($B233,'Dermal Exposure'!$A$6:$L$19,4,FALSE))),"--")</f>
        <v>130.80311809116256</v>
      </c>
      <c r="M233" s="88">
        <f>IFERROR(VLOOKUP($D233,$Y$9:$AB$10,3,FALSE)/IF($D233="Inhalation",IF($J233="Central Tendency",SUMIFS('Inhalation Exposure_8-hr'!$L$6:$L$411,'Inhalation Exposure_8-hr'!$B$6:$B$411,$B233,'Inhalation Exposure_8-hr'!$D$6:$D$411,$C233),SUMIFS('Inhalation Exposure_8-hr'!$M$6:$M$411,'Inhalation Exposure_8-hr'!$B$6:$B$411,$B233,'Inhalation Exposure_8-hr'!$D$6:$D$411,$C233)),IF($J233="Central Tendency",VLOOKUP($B233,'Dermal Exposure'!$A$6:$L$19,10,FALSE),VLOOKUP($B233,'Dermal Exposure'!$A$6:$L$19,5,FALSE))),"--")</f>
        <v>3.8674617381976804</v>
      </c>
      <c r="N233" s="89">
        <f>IFERROR(VLOOKUP($D233,$Y$9:$AB$10,4,FALSE)/IF($D233="Inhalation",IF($J233="Central Tendency",SUMIFS('Inhalation Exposure_8-hr'!$N$6:$N$411,'Inhalation Exposure_8-hr'!$B$6:$B$411,$B233,'Inhalation Exposure_8-hr'!$D$6:$D$411,$C233),SUMIFS('Inhalation Exposure_8-hr'!$O$6:$O$411,'Inhalation Exposure_8-hr'!$B$6:$B$411,$B233,'Inhalation Exposure_8-hr'!$D$6:$D$411,$C233)),IF($J233="Central Tendency",VLOOKUP($B233,'Dermal Exposure'!$A$6:$L$19,11,FALSE),VLOOKUP($B233,'Dermal Exposure'!$A$6:$L$19,6,FALSE))),"--")</f>
        <v>4.1407623676969836</v>
      </c>
      <c r="O233" s="91">
        <f>IFERROR(K233*T233, "--")</f>
        <v>5146.1031583730974</v>
      </c>
      <c r="P233" s="91">
        <f>IFERROR(L233*U233, "--")</f>
        <v>1308.0311809116256</v>
      </c>
      <c r="Q233" s="91">
        <f>IFERROR(M233*V233, "--")</f>
        <v>193.37308690988402</v>
      </c>
      <c r="R233" s="91">
        <f>IFERROR(N233*W233, "--")</f>
        <v>207.03811838484918</v>
      </c>
      <c r="T233" s="92">
        <v>10</v>
      </c>
      <c r="U233" s="93">
        <v>10</v>
      </c>
      <c r="V233" s="93">
        <v>50</v>
      </c>
      <c r="W233" s="94">
        <v>50</v>
      </c>
    </row>
    <row r="234" spans="2:23" ht="15" thickBot="1" x14ac:dyDescent="0.4">
      <c r="B234" s="82" t="s">
        <v>188</v>
      </c>
      <c r="C234" s="83" t="s">
        <v>68</v>
      </c>
      <c r="D234" s="83" t="s">
        <v>107</v>
      </c>
      <c r="E234" s="98"/>
      <c r="F234" s="98"/>
      <c r="G234" s="99"/>
      <c r="H234" s="100"/>
      <c r="I234" s="101"/>
      <c r="J234" s="113"/>
      <c r="K234" s="103"/>
      <c r="L234" s="103"/>
      <c r="M234" s="103"/>
      <c r="N234" s="104"/>
      <c r="O234" s="105" t="str">
        <f>CONCATENATE("(APF ",T233,")")</f>
        <v>(APF 10)</v>
      </c>
      <c r="P234" s="105" t="str">
        <f>CONCATENATE("(APF ",U233,")")</f>
        <v>(APF 10)</v>
      </c>
      <c r="Q234" s="105" t="str">
        <f>CONCATENATE("(APF ",V233,")")</f>
        <v>(APF 50)</v>
      </c>
      <c r="R234" s="105" t="str">
        <f>CONCATENATE("(APF ",W233,")")</f>
        <v>(APF 50)</v>
      </c>
      <c r="T234" s="106" t="s">
        <v>111</v>
      </c>
      <c r="U234" s="107" t="s">
        <v>111</v>
      </c>
      <c r="V234" s="107" t="s">
        <v>111</v>
      </c>
      <c r="W234" s="108" t="s">
        <v>111</v>
      </c>
    </row>
    <row r="235" spans="2:23" ht="15.75" customHeight="1" thickBot="1" x14ac:dyDescent="0.4">
      <c r="B235" s="82" t="s">
        <v>188</v>
      </c>
      <c r="C235" s="83" t="s">
        <v>68</v>
      </c>
      <c r="D235" s="83" t="s">
        <v>107</v>
      </c>
      <c r="E235" s="98"/>
      <c r="F235" s="98"/>
      <c r="G235" s="99"/>
      <c r="H235" s="100"/>
      <c r="I235" s="101"/>
      <c r="J235" s="86" t="s">
        <v>112</v>
      </c>
      <c r="K235" s="88">
        <f>IFERROR(VLOOKUP($D235,$Y$9:$AB$10,2,FALSE)/IF($D235="Inhalation",IF($J235="Central Tendency",SUMIFS('Inhalation Exposure_Short-Term'!$F$7:$F$397,'Inhalation Exposure_Short-Term'!$B$7:$B$397,$B235,'Inhalation Exposure_Short-Term'!$D$7:$D$397,$C235),SUMIFS('Inhalation Exposure_Short-Term'!$G$7:$G$397,'Inhalation Exposure_Short-Term'!$B$7:$B$397,$B235,'Inhalation Exposure_Short-Term'!$D$7:$D$397,$C235)),IF($J235="Central Tendency",VLOOKUP($B235,'Dermal Exposure'!$A$6:$L$19,9,FALSE),VLOOKUP($B235,'Dermal Exposure'!$A$6:$L$19,4,FALSE))),"--")</f>
        <v>100.68462701164755</v>
      </c>
      <c r="L235" s="88">
        <f>IFERROR(VLOOKUP($D235,$Y$9:$AB$10,2,FALSE)/IF($D235="Inhalation",IF($J235="Central Tendency",SUMIFS('Inhalation Exposure_8-hr'!$H$6:$H$411,'Inhalation Exposure_8-hr'!$B$6:$B$411,$B235,'Inhalation Exposure_8-hr'!$D$6:$D$411,$C235),SUMIFS('Inhalation Exposure_8-hr'!$I$6:$I$411,'Inhalation Exposure_8-hr'!$B$6:$B$411,$B235,'Inhalation Exposure_8-hr'!$D$6:$D$411,$C235)),IF($J235="Central Tendency",VLOOKUP($B235,'Dermal Exposure'!$A$6:$L$19,9,FALSE),VLOOKUP($B235,'Dermal Exposure'!$A$6:$L$19,4,FALSE))),"--")</f>
        <v>25.047646860485628</v>
      </c>
      <c r="M235" s="88">
        <f>IFERROR(VLOOKUP($D235,$Y$9:$AB$10,3,FALSE)/IF($D235="Inhalation",IF($J235="Central Tendency",SUMIFS('Inhalation Exposure_8-hr'!$L$6:$L$411,'Inhalation Exposure_8-hr'!$B$6:$B$411,$B235,'Inhalation Exposure_8-hr'!$D$6:$D$411,$C235),SUMIFS('Inhalation Exposure_8-hr'!$M$6:$M$411,'Inhalation Exposure_8-hr'!$B$6:$B$411,$B235,'Inhalation Exposure_8-hr'!$D$6:$D$411,$C235)),IF($J235="Central Tendency",VLOOKUP($B235,'Dermal Exposure'!$A$6:$L$19,10,FALSE),VLOOKUP($B235,'Dermal Exposure'!$A$6:$L$19,5,FALSE))),"--")</f>
        <v>0.74058491325338127</v>
      </c>
      <c r="N235" s="89">
        <f>IFERROR(VLOOKUP($D235,$Y$9:$AB$10,4,FALSE)/IF($D235="Inhalation",IF($J235="Central Tendency",SUMIFS('Inhalation Exposure_8-hr'!$N$6:$N$411,'Inhalation Exposure_8-hr'!$B$6:$B$411,$B235,'Inhalation Exposure_8-hr'!$D$6:$D$411,$C235),SUMIFS('Inhalation Exposure_8-hr'!$O$6:$O$411,'Inhalation Exposure_8-hr'!$B$6:$B$411,$B235,'Inhalation Exposure_8-hr'!$D$6:$D$411,$C235)),IF($J235="Central Tendency",VLOOKUP($B235,'Dermal Exposure'!$A$6:$L$19,11,FALSE),VLOOKUP($B235,'Dermal Exposure'!$A$6:$L$19,6,FALSE))),"--")</f>
        <v>0.79291958045662014</v>
      </c>
      <c r="O235" s="91">
        <f>IFERROR(K235*T235, "--")</f>
        <v>1006.8462701164755</v>
      </c>
      <c r="P235" s="91">
        <f>IFERROR(L235*U235, "--")</f>
        <v>250.47646860485628</v>
      </c>
      <c r="Q235" s="91">
        <f>IFERROR(M235*V235, "--")</f>
        <v>7.4058491325338132</v>
      </c>
      <c r="R235" s="91">
        <f>IFERROR(N235*W235, "--")</f>
        <v>39.645979022831007</v>
      </c>
      <c r="T235" s="109">
        <v>10</v>
      </c>
      <c r="U235" s="110">
        <v>10</v>
      </c>
      <c r="V235" s="110">
        <v>10</v>
      </c>
      <c r="W235" s="111">
        <v>50</v>
      </c>
    </row>
    <row r="236" spans="2:23" ht="15" thickBot="1" x14ac:dyDescent="0.4">
      <c r="B236" s="82" t="s">
        <v>188</v>
      </c>
      <c r="C236" s="83" t="s">
        <v>68</v>
      </c>
      <c r="D236" s="83" t="s">
        <v>107</v>
      </c>
      <c r="E236" s="98"/>
      <c r="F236" s="98"/>
      <c r="G236" s="112"/>
      <c r="H236" s="100"/>
      <c r="I236" s="113"/>
      <c r="J236" s="113"/>
      <c r="K236" s="103"/>
      <c r="L236" s="103"/>
      <c r="M236" s="103"/>
      <c r="N236" s="104"/>
      <c r="O236" s="105" t="str">
        <f>CONCATENATE("(APF ",T235,")")</f>
        <v>(APF 10)</v>
      </c>
      <c r="P236" s="105" t="str">
        <f>CONCATENATE("(APF ",U235,")")</f>
        <v>(APF 10)</v>
      </c>
      <c r="Q236" s="105" t="str">
        <f>CONCATENATE("(APF ",V235,")")</f>
        <v>(APF 10)</v>
      </c>
      <c r="R236" s="105" t="str">
        <f>CONCATENATE("(APF ",W235,")")</f>
        <v>(APF 50)</v>
      </c>
      <c r="T236" s="114" t="s">
        <v>111</v>
      </c>
      <c r="U236" s="115" t="s">
        <v>111</v>
      </c>
      <c r="V236" s="115" t="s">
        <v>111</v>
      </c>
      <c r="W236" s="116" t="s">
        <v>111</v>
      </c>
    </row>
    <row r="237" spans="2:23" ht="15.75" customHeight="1" thickBot="1" x14ac:dyDescent="0.4">
      <c r="B237" s="82" t="s">
        <v>192</v>
      </c>
      <c r="C237" s="83" t="s">
        <v>68</v>
      </c>
      <c r="D237" s="83" t="s">
        <v>107</v>
      </c>
      <c r="E237" s="98"/>
      <c r="F237" s="98"/>
      <c r="G237" s="85" t="s">
        <v>336</v>
      </c>
      <c r="H237" s="100"/>
      <c r="I237" s="86" t="s">
        <v>110</v>
      </c>
      <c r="J237" s="86" t="s">
        <v>71</v>
      </c>
      <c r="K237" s="88">
        <f>IFERROR(VLOOKUP($D237,$Y$9:$AB$10,2,FALSE)/IF($D237="Inhalation",IF($J237="Central Tendency",SUMIFS('Inhalation Exposure_Short-Term'!$F$7:$F$397,'Inhalation Exposure_Short-Term'!$B$7:$B$397,$B237,'Inhalation Exposure_Short-Term'!$D$7:$D$397,$C237),SUMIFS('Inhalation Exposure_Short-Term'!$G$7:$G$397,'Inhalation Exposure_Short-Term'!$B$7:$B$397,$B237,'Inhalation Exposure_Short-Term'!$D$7:$D$397,$C237)),IF($J237="Central Tendency",VLOOKUP($B237,'Dermal Exposure'!$A$6:$L$19,9,FALSE),VLOOKUP($B237,'Dermal Exposure'!$A$6:$L$19,4,FALSE))),"--")</f>
        <v>1694.4486009277275</v>
      </c>
      <c r="L237" s="88">
        <f>IFERROR(VLOOKUP($D237,$Y$9:$AB$10,2,FALSE)/IF($D237="Inhalation",IF($J237="Central Tendency",SUMIFS('Inhalation Exposure_8-hr'!$H$6:$H$411,'Inhalation Exposure_8-hr'!$B$6:$B$411,$B237,'Inhalation Exposure_8-hr'!$D$6:$D$411,$C237),SUMIFS('Inhalation Exposure_8-hr'!$I$6:$I$411,'Inhalation Exposure_8-hr'!$B$6:$B$411,$B237,'Inhalation Exposure_8-hr'!$D$6:$D$411,$C237)),IF($J237="Central Tendency",VLOOKUP($B237,'Dermal Exposure'!$A$6:$L$19,9,FALSE),VLOOKUP($B237,'Dermal Exposure'!$A$6:$L$19,4,FALSE))),"--")</f>
        <v>740.60280928056648</v>
      </c>
      <c r="M237" s="88">
        <f>IFERROR(VLOOKUP($D237,$Y$9:$AB$10,3,FALSE)/IF($D237="Inhalation",IF($J237="Central Tendency",SUMIFS('Inhalation Exposure_8-hr'!$L$6:$L$411,'Inhalation Exposure_8-hr'!$B$6:$B$411,$B237,'Inhalation Exposure_8-hr'!$D$6:$D$411,$C237),SUMIFS('Inhalation Exposure_8-hr'!$M$6:$M$411,'Inhalation Exposure_8-hr'!$B$6:$B$411,$B237,'Inhalation Exposure_8-hr'!$D$6:$D$411,$C237)),IF($J237="Central Tendency",VLOOKUP($B237,'Dermal Exposure'!$A$6:$L$19,10,FALSE),VLOOKUP($B237,'Dermal Exposure'!$A$6:$L$19,5,FALSE))),"--")</f>
        <v>21.897436925762566</v>
      </c>
      <c r="N237" s="89">
        <f>IFERROR(VLOOKUP($D237,$Y$9:$AB$10,4,FALSE)/IF($D237="Inhalation",IF($J237="Central Tendency",SUMIFS('Inhalation Exposure_8-hr'!$N$6:$N$411,'Inhalation Exposure_8-hr'!$B$6:$B$411,$B237,'Inhalation Exposure_8-hr'!$D$6:$D$411,$C237),SUMIFS('Inhalation Exposure_8-hr'!$O$6:$O$411,'Inhalation Exposure_8-hr'!$B$6:$B$411,$B237,'Inhalation Exposure_8-hr'!$D$6:$D$411,$C237)),IF($J237="Central Tendency",VLOOKUP($B237,'Dermal Exposure'!$A$6:$L$19,11,FALSE),VLOOKUP($B237,'Dermal Exposure'!$A$6:$L$19,6,FALSE))),"--")</f>
        <v>23.444855801849787</v>
      </c>
      <c r="O237" s="91">
        <f>IFERROR(K237*T237, "--")</f>
        <v>16944.486009277276</v>
      </c>
      <c r="P237" s="91">
        <f>IFERROR(L237*U237, "--")</f>
        <v>7406.0280928056645</v>
      </c>
      <c r="Q237" s="91">
        <f>IFERROR(M237*V237, "--")</f>
        <v>1094.8718462881284</v>
      </c>
      <c r="R237" s="91">
        <f>IFERROR(N237*W237, "--")</f>
        <v>1172.2427900924893</v>
      </c>
      <c r="T237" s="92">
        <v>10</v>
      </c>
      <c r="U237" s="93">
        <v>10</v>
      </c>
      <c r="V237" s="93">
        <v>50</v>
      </c>
      <c r="W237" s="94">
        <v>50</v>
      </c>
    </row>
    <row r="238" spans="2:23" ht="15" thickBot="1" x14ac:dyDescent="0.4">
      <c r="B238" s="82" t="s">
        <v>192</v>
      </c>
      <c r="C238" s="83" t="s">
        <v>68</v>
      </c>
      <c r="D238" s="83" t="s">
        <v>107</v>
      </c>
      <c r="E238" s="98"/>
      <c r="F238" s="98"/>
      <c r="G238" s="99"/>
      <c r="H238" s="100"/>
      <c r="I238" s="101"/>
      <c r="J238" s="113"/>
      <c r="K238" s="103"/>
      <c r="L238" s="103"/>
      <c r="M238" s="103"/>
      <c r="N238" s="104"/>
      <c r="O238" s="105" t="str">
        <f>CONCATENATE("(APF ",T237,")")</f>
        <v>(APF 10)</v>
      </c>
      <c r="P238" s="105" t="str">
        <f>CONCATENATE("(APF ",U237,")")</f>
        <v>(APF 10)</v>
      </c>
      <c r="Q238" s="105" t="str">
        <f>CONCATENATE("(APF ",V237,")")</f>
        <v>(APF 50)</v>
      </c>
      <c r="R238" s="105" t="str">
        <f>CONCATENATE("(APF ",W237,")")</f>
        <v>(APF 50)</v>
      </c>
      <c r="T238" s="106" t="s">
        <v>111</v>
      </c>
      <c r="U238" s="107" t="s">
        <v>111</v>
      </c>
      <c r="V238" s="107" t="s">
        <v>111</v>
      </c>
      <c r="W238" s="108" t="s">
        <v>111</v>
      </c>
    </row>
    <row r="239" spans="2:23" ht="15" thickBot="1" x14ac:dyDescent="0.4">
      <c r="B239" s="82" t="s">
        <v>192</v>
      </c>
      <c r="C239" s="83" t="s">
        <v>68</v>
      </c>
      <c r="D239" s="83" t="s">
        <v>107</v>
      </c>
      <c r="E239" s="98"/>
      <c r="F239" s="98"/>
      <c r="G239" s="99"/>
      <c r="H239" s="100"/>
      <c r="I239" s="101"/>
      <c r="J239" s="86" t="s">
        <v>112</v>
      </c>
      <c r="K239" s="88">
        <f>IFERROR(VLOOKUP($D239,$Y$9:$AB$10,2,FALSE)/IF($D239="Inhalation",IF($J239="Central Tendency",SUMIFS('Inhalation Exposure_Short-Term'!$F$7:$F$397,'Inhalation Exposure_Short-Term'!$B$7:$B$397,$B239,'Inhalation Exposure_Short-Term'!$D$7:$D$397,$C239),SUMIFS('Inhalation Exposure_Short-Term'!$G$7:$G$397,'Inhalation Exposure_Short-Term'!$B$7:$B$397,$B239,'Inhalation Exposure_Short-Term'!$D$7:$D$397,$C239)),IF($J239="Central Tendency",VLOOKUP($B239,'Dermal Exposure'!$A$6:$L$19,9,FALSE),VLOOKUP($B239,'Dermal Exposure'!$A$6:$L$19,4,FALSE))),"--")</f>
        <v>84.290697207033318</v>
      </c>
      <c r="L239" s="88">
        <f>IFERROR(VLOOKUP($D239,$Y$9:$AB$10,2,FALSE)/IF($D239="Inhalation",IF($J239="Central Tendency",SUMIFS('Inhalation Exposure_8-hr'!$H$6:$H$411,'Inhalation Exposure_8-hr'!$B$6:$B$411,$B239,'Inhalation Exposure_8-hr'!$D$6:$D$411,$C239),SUMIFS('Inhalation Exposure_8-hr'!$I$6:$I$411,'Inhalation Exposure_8-hr'!$B$6:$B$411,$B239,'Inhalation Exposure_8-hr'!$D$6:$D$411,$C239)),IF($J239="Central Tendency",VLOOKUP($B239,'Dermal Exposure'!$A$6:$L$19,9,FALSE),VLOOKUP($B239,'Dermal Exposure'!$A$6:$L$19,4,FALSE))),"--")</f>
        <v>34.943579906806889</v>
      </c>
      <c r="M239" s="88">
        <f>IFERROR(VLOOKUP($D239,$Y$9:$AB$10,3,FALSE)/IF($D239="Inhalation",IF($J239="Central Tendency",SUMIFS('Inhalation Exposure_8-hr'!$L$6:$L$411,'Inhalation Exposure_8-hr'!$B$6:$B$411,$B239,'Inhalation Exposure_8-hr'!$D$6:$D$411,$C239),SUMIFS('Inhalation Exposure_8-hr'!$M$6:$M$411,'Inhalation Exposure_8-hr'!$B$6:$B$411,$B239,'Inhalation Exposure_8-hr'!$D$6:$D$411,$C239)),IF($J239="Central Tendency",VLOOKUP($B239,'Dermal Exposure'!$A$6:$L$19,10,FALSE),VLOOKUP($B239,'Dermal Exposure'!$A$6:$L$19,5,FALSE))),"--")</f>
        <v>1.0331784154491004</v>
      </c>
      <c r="N239" s="89">
        <f>IFERROR(VLOOKUP($D239,$Y$9:$AB$10,4,FALSE)/IF($D239="Inhalation",IF($J239="Central Tendency",SUMIFS('Inhalation Exposure_8-hr'!$N$6:$N$411,'Inhalation Exposure_8-hr'!$B$6:$B$411,$B239,'Inhalation Exposure_8-hr'!$D$6:$D$411,$C239),SUMIFS('Inhalation Exposure_8-hr'!$O$6:$O$411,'Inhalation Exposure_8-hr'!$B$6:$B$411,$B239,'Inhalation Exposure_8-hr'!$D$6:$D$411,$C239)),IF($J239="Central Tendency",VLOOKUP($B239,'Dermal Exposure'!$A$6:$L$19,11,FALSE),VLOOKUP($B239,'Dermal Exposure'!$A$6:$L$19,6,FALSE))),"--")</f>
        <v>1.1061896901408368</v>
      </c>
      <c r="O239" s="91">
        <f>IFERROR(K239*T239, "--")</f>
        <v>842.90697207033315</v>
      </c>
      <c r="P239" s="91">
        <f>IFERROR(L239*U239, "--")</f>
        <v>349.43579906806889</v>
      </c>
      <c r="Q239" s="91">
        <f>IFERROR(M239*V239, "--")</f>
        <v>10.331784154491004</v>
      </c>
      <c r="R239" s="91">
        <f>IFERROR(N239*W239, "--")</f>
        <v>11.061896901408367</v>
      </c>
      <c r="T239" s="109">
        <v>10</v>
      </c>
      <c r="U239" s="110">
        <v>10</v>
      </c>
      <c r="V239" s="110">
        <v>10</v>
      </c>
      <c r="W239" s="111">
        <v>10</v>
      </c>
    </row>
    <row r="240" spans="2:23" ht="15" thickBot="1" x14ac:dyDescent="0.4">
      <c r="B240" s="82" t="s">
        <v>192</v>
      </c>
      <c r="C240" s="83" t="s">
        <v>68</v>
      </c>
      <c r="D240" s="83" t="s">
        <v>107</v>
      </c>
      <c r="E240" s="98"/>
      <c r="F240" s="98"/>
      <c r="G240" s="112"/>
      <c r="H240" s="100"/>
      <c r="I240" s="113"/>
      <c r="J240" s="113"/>
      <c r="K240" s="103"/>
      <c r="L240" s="103"/>
      <c r="M240" s="103"/>
      <c r="N240" s="104"/>
      <c r="O240" s="105" t="str">
        <f>CONCATENATE("(APF ",T239,")")</f>
        <v>(APF 10)</v>
      </c>
      <c r="P240" s="105" t="str">
        <f>CONCATENATE("(APF ",U239,")")</f>
        <v>(APF 10)</v>
      </c>
      <c r="Q240" s="105" t="str">
        <f>CONCATENATE("(APF ",V239,")")</f>
        <v>(APF 10)</v>
      </c>
      <c r="R240" s="105" t="str">
        <f>CONCATENATE("(APF ",W239,")")</f>
        <v>(APF 10)</v>
      </c>
      <c r="T240" s="114" t="s">
        <v>111</v>
      </c>
      <c r="U240" s="115" t="s">
        <v>111</v>
      </c>
      <c r="V240" s="115" t="s">
        <v>111</v>
      </c>
      <c r="W240" s="116" t="s">
        <v>111</v>
      </c>
    </row>
    <row r="241" spans="2:23" ht="15.75" customHeight="1" thickBot="1" x14ac:dyDescent="0.4">
      <c r="B241" s="82" t="s">
        <v>194</v>
      </c>
      <c r="C241" s="83" t="s">
        <v>80</v>
      </c>
      <c r="D241" s="83" t="s">
        <v>107</v>
      </c>
      <c r="E241" s="98"/>
      <c r="F241" s="98"/>
      <c r="G241" s="85" t="s">
        <v>514</v>
      </c>
      <c r="H241" s="86" t="s">
        <v>80</v>
      </c>
      <c r="I241" s="86" t="s">
        <v>110</v>
      </c>
      <c r="J241" s="86" t="s">
        <v>71</v>
      </c>
      <c r="K241" s="88" t="str">
        <f>IFERROR(VLOOKUP($D241,$Y$9:$AB$10,2,FALSE)/IF($D241="Inhalation",IF($J241="Central Tendency",SUMIFS('Inhalation Exposure_Short-Term'!$F$7:$F$397,'Inhalation Exposure_Short-Term'!$B$7:$B$397,$B241,'Inhalation Exposure_Short-Term'!$D$7:$D$397,$C241),SUMIFS('Inhalation Exposure_Short-Term'!$G$7:$G$397,'Inhalation Exposure_Short-Term'!$B$7:$B$397,$B241,'Inhalation Exposure_Short-Term'!$D$7:$D$397,$C241)),IF($J241="Central Tendency",VLOOKUP($B241,'Dermal Exposure'!$A$6:$L$19,9,FALSE),VLOOKUP($B241,'Dermal Exposure'!$A$6:$L$19,4,FALSE))),"--")</f>
        <v>--</v>
      </c>
      <c r="L241" s="88">
        <f>IFERROR(VLOOKUP($D241,$Y$9:$AB$10,2,FALSE)/IF($D241="Inhalation",IF($J241="Central Tendency",SUMIFS('Inhalation Exposure_8-hr'!$H$6:$H$411,'Inhalation Exposure_8-hr'!$B$6:$B$411,$B241,'Inhalation Exposure_8-hr'!$D$6:$D$411,$C241),SUMIFS('Inhalation Exposure_8-hr'!$I$6:$I$411,'Inhalation Exposure_8-hr'!$B$6:$B$411,$B241,'Inhalation Exposure_8-hr'!$D$6:$D$411,$C241)),IF($J241="Central Tendency",VLOOKUP($B241,'Dermal Exposure'!$A$6:$L$19,9,FALSE),VLOOKUP($B241,'Dermal Exposure'!$A$6:$L$19,4,FALSE))),"--")</f>
        <v>561.02827939743997</v>
      </c>
      <c r="M241" s="88">
        <f>IFERROR(VLOOKUP($D241,$Y$9:$AB$10,3,FALSE)/IF($D241="Inhalation",IF($J241="Central Tendency",SUMIFS('Inhalation Exposure_8-hr'!$L$6:$L$411,'Inhalation Exposure_8-hr'!$B$6:$B$411,$B241,'Inhalation Exposure_8-hr'!$D$6:$D$411,$C241),SUMIFS('Inhalation Exposure_8-hr'!$M$6:$M$411,'Inhalation Exposure_8-hr'!$B$6:$B$411,$B241,'Inhalation Exposure_8-hr'!$D$6:$D$411,$C241)),IF($J241="Central Tendency",VLOOKUP($B241,'Dermal Exposure'!$A$6:$L$19,10,FALSE),VLOOKUP($B241,'Dermal Exposure'!$A$6:$L$19,5,FALSE))),"--")</f>
        <v>16.587948638229534</v>
      </c>
      <c r="N241" s="89">
        <f>IFERROR(VLOOKUP($D241,$Y$9:$AB$10,4,FALSE)/IF($D241="Inhalation",IF($J241="Central Tendency",SUMIFS('Inhalation Exposure_8-hr'!$N$6:$N$411,'Inhalation Exposure_8-hr'!$B$6:$B$411,$B241,'Inhalation Exposure_8-hr'!$D$6:$D$411,$C241),SUMIFS('Inhalation Exposure_8-hr'!$O$6:$O$411,'Inhalation Exposure_8-hr'!$B$6:$B$411,$B241,'Inhalation Exposure_8-hr'!$D$6:$D$411,$C241)),IF($J241="Central Tendency",VLOOKUP($B241,'Dermal Exposure'!$A$6:$L$19,11,FALSE),VLOOKUP($B241,'Dermal Exposure'!$A$6:$L$19,6,FALSE))),"--")</f>
        <v>17.760163675331089</v>
      </c>
      <c r="O241" s="91" t="str">
        <f>IFERROR(K241*T241, "--")</f>
        <v>--</v>
      </c>
      <c r="P241" s="91">
        <f>IFERROR(L241*U241, "--")</f>
        <v>5610.2827939744002</v>
      </c>
      <c r="Q241" s="91">
        <f>IFERROR(M241*V241, "--")</f>
        <v>829.3974319114767</v>
      </c>
      <c r="R241" s="91">
        <f>IFERROR(N241*W241, "--")</f>
        <v>888.00818376655445</v>
      </c>
      <c r="T241" s="92">
        <v>10</v>
      </c>
      <c r="U241" s="93">
        <v>10</v>
      </c>
      <c r="V241" s="93">
        <v>50</v>
      </c>
      <c r="W241" s="94">
        <v>50</v>
      </c>
    </row>
    <row r="242" spans="2:23" ht="15" thickBot="1" x14ac:dyDescent="0.4">
      <c r="B242" s="82" t="s">
        <v>194</v>
      </c>
      <c r="C242" s="83" t="s">
        <v>80</v>
      </c>
      <c r="D242" s="83" t="s">
        <v>107</v>
      </c>
      <c r="E242" s="98"/>
      <c r="F242" s="98"/>
      <c r="G242" s="99"/>
      <c r="H242" s="101"/>
      <c r="I242" s="101"/>
      <c r="J242" s="113"/>
      <c r="K242" s="103"/>
      <c r="L242" s="103"/>
      <c r="M242" s="103"/>
      <c r="N242" s="104"/>
      <c r="O242" s="105" t="str">
        <f>CONCATENATE("(APF ",T241,")")</f>
        <v>(APF 10)</v>
      </c>
      <c r="P242" s="105" t="str">
        <f>CONCATENATE("(APF ",U241,")")</f>
        <v>(APF 10)</v>
      </c>
      <c r="Q242" s="105" t="str">
        <f>CONCATENATE("(APF ",V241,")")</f>
        <v>(APF 50)</v>
      </c>
      <c r="R242" s="105" t="str">
        <f>CONCATENATE("(APF ",W241,")")</f>
        <v>(APF 50)</v>
      </c>
      <c r="T242" s="106" t="s">
        <v>111</v>
      </c>
      <c r="U242" s="107" t="s">
        <v>111</v>
      </c>
      <c r="V242" s="107" t="s">
        <v>111</v>
      </c>
      <c r="W242" s="108" t="s">
        <v>111</v>
      </c>
    </row>
    <row r="243" spans="2:23" ht="15.75" customHeight="1" thickBot="1" x14ac:dyDescent="0.4">
      <c r="B243" s="82" t="s">
        <v>194</v>
      </c>
      <c r="C243" s="83" t="s">
        <v>80</v>
      </c>
      <c r="D243" s="83" t="s">
        <v>107</v>
      </c>
      <c r="E243" s="98"/>
      <c r="F243" s="98"/>
      <c r="G243" s="99"/>
      <c r="H243" s="101"/>
      <c r="I243" s="101"/>
      <c r="J243" s="86" t="s">
        <v>112</v>
      </c>
      <c r="K243" s="88" t="str">
        <f>IFERROR(VLOOKUP($D243,$Y$9:$AB$10,2,FALSE)/IF($D243="Inhalation",IF($J243="Central Tendency",SUMIFS('Inhalation Exposure_Short-Term'!$F$7:$F$397,'Inhalation Exposure_Short-Term'!$B$7:$B$397,$B243,'Inhalation Exposure_Short-Term'!$D$7:$D$397,$C243),SUMIFS('Inhalation Exposure_Short-Term'!$G$7:$G$397,'Inhalation Exposure_Short-Term'!$B$7:$B$397,$B243,'Inhalation Exposure_Short-Term'!$D$7:$D$397,$C243)),IF($J243="Central Tendency",VLOOKUP($B243,'Dermal Exposure'!$A$6:$L$19,9,FALSE),VLOOKUP($B243,'Dermal Exposure'!$A$6:$L$19,4,FALSE))),"--")</f>
        <v>--</v>
      </c>
      <c r="L243" s="88">
        <f>IFERROR(VLOOKUP($D243,$Y$9:$AB$10,2,FALSE)/IF($D243="Inhalation",IF($J243="Central Tendency",SUMIFS('Inhalation Exposure_8-hr'!$H$6:$H$411,'Inhalation Exposure_8-hr'!$B$6:$B$411,$B243,'Inhalation Exposure_8-hr'!$D$6:$D$411,$C243),SUMIFS('Inhalation Exposure_8-hr'!$I$6:$I$411,'Inhalation Exposure_8-hr'!$B$6:$B$411,$B243,'Inhalation Exposure_8-hr'!$D$6:$D$411,$C243)),IF($J243="Central Tendency",VLOOKUP($B243,'Dermal Exposure'!$A$6:$L$19,9,FALSE),VLOOKUP($B243,'Dermal Exposure'!$A$6:$L$19,4,FALSE))),"--")</f>
        <v>561.02827939743997</v>
      </c>
      <c r="M243" s="88">
        <f>IFERROR(VLOOKUP($D243,$Y$9:$AB$10,3,FALSE)/IF($D243="Inhalation",IF($J243="Central Tendency",SUMIFS('Inhalation Exposure_8-hr'!$L$6:$L$411,'Inhalation Exposure_8-hr'!$B$6:$B$411,$B243,'Inhalation Exposure_8-hr'!$D$6:$D$411,$C243),SUMIFS('Inhalation Exposure_8-hr'!$M$6:$M$411,'Inhalation Exposure_8-hr'!$B$6:$B$411,$B243,'Inhalation Exposure_8-hr'!$D$6:$D$411,$C243)),IF($J243="Central Tendency",VLOOKUP($B243,'Dermal Exposure'!$A$6:$L$19,10,FALSE),VLOOKUP($B243,'Dermal Exposure'!$A$6:$L$19,5,FALSE))),"--")</f>
        <v>16.587948638229534</v>
      </c>
      <c r="N243" s="89">
        <f>IFERROR(VLOOKUP($D243,$Y$9:$AB$10,4,FALSE)/IF($D243="Inhalation",IF($J243="Central Tendency",SUMIFS('Inhalation Exposure_8-hr'!$N$6:$N$411,'Inhalation Exposure_8-hr'!$B$6:$B$411,$B243,'Inhalation Exposure_8-hr'!$D$6:$D$411,$C243),SUMIFS('Inhalation Exposure_8-hr'!$O$6:$O$411,'Inhalation Exposure_8-hr'!$B$6:$B$411,$B243,'Inhalation Exposure_8-hr'!$D$6:$D$411,$C243)),IF($J243="Central Tendency",VLOOKUP($B243,'Dermal Exposure'!$A$6:$L$19,11,FALSE),VLOOKUP($B243,'Dermal Exposure'!$A$6:$L$19,6,FALSE))),"--")</f>
        <v>17.760163675331089</v>
      </c>
      <c r="O243" s="91" t="str">
        <f>IFERROR(K243*T243, "--")</f>
        <v>--</v>
      </c>
      <c r="P243" s="91">
        <f>IFERROR(L243*U243, "--")</f>
        <v>5610.2827939744002</v>
      </c>
      <c r="Q243" s="91">
        <f>IFERROR(M243*V243, "--")</f>
        <v>165.87948638229534</v>
      </c>
      <c r="R243" s="91">
        <f>IFERROR(N243*W243, "--")</f>
        <v>177.60163675331088</v>
      </c>
      <c r="T243" s="109">
        <v>10</v>
      </c>
      <c r="U243" s="110">
        <v>10</v>
      </c>
      <c r="V243" s="110">
        <v>10</v>
      </c>
      <c r="W243" s="111">
        <v>10</v>
      </c>
    </row>
    <row r="244" spans="2:23" ht="15" thickBot="1" x14ac:dyDescent="0.4">
      <c r="B244" s="82" t="s">
        <v>194</v>
      </c>
      <c r="C244" s="83" t="s">
        <v>80</v>
      </c>
      <c r="D244" s="83" t="s">
        <v>107</v>
      </c>
      <c r="E244" s="98"/>
      <c r="F244" s="98"/>
      <c r="G244" s="112"/>
      <c r="H244" s="113"/>
      <c r="I244" s="113"/>
      <c r="J244" s="113"/>
      <c r="K244" s="103"/>
      <c r="L244" s="103"/>
      <c r="M244" s="103"/>
      <c r="N244" s="104"/>
      <c r="O244" s="105" t="str">
        <f>CONCATENATE("(APF ",T243,")")</f>
        <v>(APF 10)</v>
      </c>
      <c r="P244" s="105" t="str">
        <f>CONCATENATE("(APF ",U243,")")</f>
        <v>(APF 10)</v>
      </c>
      <c r="Q244" s="105" t="str">
        <f>CONCATENATE("(APF ",V243,")")</f>
        <v>(APF 10)</v>
      </c>
      <c r="R244" s="105" t="str">
        <f>CONCATENATE("(APF ",W243,")")</f>
        <v>(APF 10)</v>
      </c>
      <c r="T244" s="114" t="s">
        <v>111</v>
      </c>
      <c r="U244" s="115" t="s">
        <v>111</v>
      </c>
      <c r="V244" s="115" t="s">
        <v>111</v>
      </c>
      <c r="W244" s="116" t="s">
        <v>111</v>
      </c>
    </row>
    <row r="245" spans="2:23" ht="15.75" customHeight="1" thickBot="1" x14ac:dyDescent="0.4">
      <c r="B245" s="82">
        <v>9</v>
      </c>
      <c r="C245" s="83" t="s">
        <v>68</v>
      </c>
      <c r="D245" s="83" t="s">
        <v>58</v>
      </c>
      <c r="E245" s="98"/>
      <c r="F245" s="98"/>
      <c r="G245" s="85" t="s">
        <v>187</v>
      </c>
      <c r="H245" s="86" t="s">
        <v>68</v>
      </c>
      <c r="I245" s="101" t="s">
        <v>58</v>
      </c>
      <c r="J245" s="86" t="s">
        <v>71</v>
      </c>
      <c r="K245" s="88" t="s">
        <v>86</v>
      </c>
      <c r="L245" s="88" t="s">
        <v>86</v>
      </c>
      <c r="M245" s="88">
        <f>IFERROR(VLOOKUP($D245,$Y$9:$AB$10,3,FALSE)/IF($D245="Inhalation",IF($J245="Central Tendency",SUMIFS('Inhalation Exposure_8-hr'!$L$6:$L$411,'Inhalation Exposure_8-hr'!$B$6:$B$411,$B245,'Inhalation Exposure_8-hr'!$D$6:$D$411,$C245),SUMIFS('Inhalation Exposure_8-hr'!$M$6:$M$411,'Inhalation Exposure_8-hr'!$B$6:$B$411,$B245,'Inhalation Exposure_8-hr'!$D$6:$D$411,$C245)),IF($J245="Central Tendency",VLOOKUP($B245,'Dermal Exposure'!$A$6:$L$19,5,FALSE),VLOOKUP($B245,'Dermal Exposure'!$A$6:$L$19,10,FALSE))),"--")</f>
        <v>719.77458575377239</v>
      </c>
      <c r="N245" s="89">
        <f>IFERROR(VLOOKUP($D245,$Y$9:$AB$10,4,FALSE)/IF($D245="Inhalation",IF($J245="Central Tendency",SUMIFS('Inhalation Exposure_8-hr'!$N$6:$N$411,'Inhalation Exposure_8-hr'!$B$6:$B$411,$B245,'Inhalation Exposure_8-hr'!$D$6:$D$411,$C245),SUMIFS('Inhalation Exposure_8-hr'!$O$6:$O$411,'Inhalation Exposure_8-hr'!$B$6:$B$411,$B245,'Inhalation Exposure_8-hr'!$D$6:$D$411,$C245)),IF($J245="Central Tendency",VLOOKUP($B245,'Dermal Exposure'!$A$6:$L$19,6,FALSE),VLOOKUP($B245,'Dermal Exposure'!$A$6:$L$19,11,FALSE))),"--")</f>
        <v>770.63865648037222</v>
      </c>
      <c r="O245" s="91" t="str">
        <f>IFERROR(K245*T245, "--")</f>
        <v>--</v>
      </c>
      <c r="P245" s="91" t="str">
        <f>IFERROR(L245*U245, "--")</f>
        <v>--</v>
      </c>
      <c r="Q245" s="91">
        <f>IFERROR(M245*V245, "--")</f>
        <v>3598.872928768862</v>
      </c>
      <c r="R245" s="91">
        <f>IFERROR(N245*W245, "--")</f>
        <v>3853.1932824018613</v>
      </c>
      <c r="T245" s="92">
        <v>5</v>
      </c>
      <c r="U245" s="93">
        <v>5</v>
      </c>
      <c r="V245" s="93">
        <v>5</v>
      </c>
      <c r="W245" s="94">
        <v>5</v>
      </c>
    </row>
    <row r="246" spans="2:23" ht="15" thickBot="1" x14ac:dyDescent="0.4">
      <c r="B246" s="82">
        <v>9</v>
      </c>
      <c r="C246" s="83" t="s">
        <v>68</v>
      </c>
      <c r="D246" s="83" t="s">
        <v>58</v>
      </c>
      <c r="E246" s="98"/>
      <c r="F246" s="98"/>
      <c r="G246" s="99"/>
      <c r="H246" s="100"/>
      <c r="I246" s="101"/>
      <c r="J246" s="113"/>
      <c r="K246" s="103"/>
      <c r="L246" s="103"/>
      <c r="M246" s="103"/>
      <c r="N246" s="104"/>
      <c r="O246" s="105" t="str">
        <f>CONCATENATE("(PF ",T245,")")</f>
        <v>(PF 5)</v>
      </c>
      <c r="P246" s="105" t="str">
        <f>CONCATENATE("(PF ",U245,")")</f>
        <v>(PF 5)</v>
      </c>
      <c r="Q246" s="105" t="str">
        <f>CONCATENATE("(PF ",V245,")")</f>
        <v>(PF 5)</v>
      </c>
      <c r="R246" s="105" t="str">
        <f>CONCATENATE("(PF ",W245,")")</f>
        <v>(PF 5)</v>
      </c>
      <c r="T246" s="106" t="s">
        <v>118</v>
      </c>
      <c r="U246" s="107" t="s">
        <v>118</v>
      </c>
      <c r="V246" s="107" t="s">
        <v>118</v>
      </c>
      <c r="W246" s="108" t="s">
        <v>118</v>
      </c>
    </row>
    <row r="247" spans="2:23" ht="15" thickBot="1" x14ac:dyDescent="0.4">
      <c r="B247" s="82">
        <v>9</v>
      </c>
      <c r="C247" s="83" t="s">
        <v>68</v>
      </c>
      <c r="D247" s="83" t="s">
        <v>58</v>
      </c>
      <c r="E247" s="98"/>
      <c r="F247" s="98"/>
      <c r="G247" s="99"/>
      <c r="H247" s="100"/>
      <c r="I247" s="101"/>
      <c r="J247" s="86" t="s">
        <v>112</v>
      </c>
      <c r="K247" s="88" t="s">
        <v>86</v>
      </c>
      <c r="L247" s="88" t="s">
        <v>86</v>
      </c>
      <c r="M247" s="88">
        <f>IFERROR(VLOOKUP($D247,$Y$9:$AB$10,3,FALSE)/IF($D247="Inhalation",IF($J247="Central Tendency",SUMIFS('Inhalation Exposure_8-hr'!$L$6:$L$411,'Inhalation Exposure_8-hr'!$B$6:$B$411,$B247,'Inhalation Exposure_8-hr'!$D$6:$D$411,$C247),SUMIFS('Inhalation Exposure_8-hr'!$M$6:$M$411,'Inhalation Exposure_8-hr'!$B$6:$B$411,$B247,'Inhalation Exposure_8-hr'!$D$6:$D$411,$C247)),IF($J247="Central Tendency",VLOOKUP($B247,'Dermal Exposure'!$A$6:$L$19,5,FALSE),VLOOKUP($B247,'Dermal Exposure'!$A$6:$L$19,10,FALSE))),"--")</f>
        <v>205.58364076723586</v>
      </c>
      <c r="N247" s="89">
        <f>IFERROR(VLOOKUP($D247,$Y$9:$AB$10,4,FALSE)/IF($D247="Inhalation",IF($J247="Central Tendency",SUMIFS('Inhalation Exposure_8-hr'!$N$6:$N$411,'Inhalation Exposure_8-hr'!$B$6:$B$411,$B247,'Inhalation Exposure_8-hr'!$D$6:$D$411,$C247),SUMIFS('Inhalation Exposure_8-hr'!$O$6:$O$411,'Inhalation Exposure_8-hr'!$B$6:$B$411,$B247,'Inhalation Exposure_8-hr'!$D$6:$D$411,$C247)),IF($J247="Central Tendency",VLOOKUP($B247,'Dermal Exposure'!$A$6:$L$19,6,FALSE),VLOOKUP($B247,'Dermal Exposure'!$A$6:$L$19,11,FALSE))),"--")</f>
        <v>220.11155138145386</v>
      </c>
      <c r="O247" s="91" t="str">
        <f>IFERROR(K247*T247, "--")</f>
        <v>--</v>
      </c>
      <c r="P247" s="91" t="str">
        <f>IFERROR(L247*U247, "--")</f>
        <v>--</v>
      </c>
      <c r="Q247" s="91">
        <f>IFERROR(M247*V247, "--")</f>
        <v>1027.9182038361794</v>
      </c>
      <c r="R247" s="91">
        <f>IFERROR(N247*W247, "--")</f>
        <v>1100.5577569072693</v>
      </c>
      <c r="T247" s="109">
        <v>5</v>
      </c>
      <c r="U247" s="110">
        <v>5</v>
      </c>
      <c r="V247" s="110">
        <v>5</v>
      </c>
      <c r="W247" s="111">
        <v>5</v>
      </c>
    </row>
    <row r="248" spans="2:23" ht="15" thickBot="1" x14ac:dyDescent="0.4">
      <c r="B248" s="82">
        <v>9</v>
      </c>
      <c r="C248" s="83" t="s">
        <v>68</v>
      </c>
      <c r="D248" s="83" t="s">
        <v>58</v>
      </c>
      <c r="E248" s="98"/>
      <c r="F248" s="98"/>
      <c r="G248" s="112"/>
      <c r="H248" s="100"/>
      <c r="I248" s="113"/>
      <c r="J248" s="113"/>
      <c r="K248" s="103"/>
      <c r="L248" s="103"/>
      <c r="M248" s="103"/>
      <c r="N248" s="104"/>
      <c r="O248" s="105" t="str">
        <f>CONCATENATE("(PF ",T247,")")</f>
        <v>(PF 5)</v>
      </c>
      <c r="P248" s="105" t="str">
        <f>CONCATENATE("(PF ",U247,")")</f>
        <v>(PF 5)</v>
      </c>
      <c r="Q248" s="105" t="str">
        <f>CONCATENATE("(PF ",V247,")")</f>
        <v>(PF 5)</v>
      </c>
      <c r="R248" s="105" t="str">
        <f>CONCATENATE("(PF ",W247,")")</f>
        <v>(PF 5)</v>
      </c>
      <c r="T248" s="114" t="s">
        <v>118</v>
      </c>
      <c r="U248" s="115" t="s">
        <v>118</v>
      </c>
      <c r="V248" s="115" t="s">
        <v>118</v>
      </c>
      <c r="W248" s="116" t="s">
        <v>118</v>
      </c>
    </row>
    <row r="249" spans="2:23" ht="15.75" customHeight="1" thickBot="1" x14ac:dyDescent="0.4">
      <c r="B249" s="82" t="s">
        <v>197</v>
      </c>
      <c r="C249" s="83" t="s">
        <v>68</v>
      </c>
      <c r="D249" s="83" t="s">
        <v>107</v>
      </c>
      <c r="E249" s="84" t="s">
        <v>177</v>
      </c>
      <c r="F249" s="84" t="s">
        <v>178</v>
      </c>
      <c r="G249" s="85" t="s">
        <v>537</v>
      </c>
      <c r="H249" s="86" t="s">
        <v>68</v>
      </c>
      <c r="I249" s="86" t="s">
        <v>110</v>
      </c>
      <c r="J249" s="86" t="s">
        <v>71</v>
      </c>
      <c r="K249" s="88">
        <f>IFERROR(VLOOKUP($D249,$Y$9:$AB$10,2,FALSE)/IF($D249="Inhalation",IF($J249="Central Tendency",SUMIFS('Inhalation Exposure_Short-Term'!$F$7:$F$397,'Inhalation Exposure_Short-Term'!$B$7:$B$397,$B249,'Inhalation Exposure_Short-Term'!$D$7:$D$397,$C249),SUMIFS('Inhalation Exposure_Short-Term'!$G$7:$G$397,'Inhalation Exposure_Short-Term'!$B$7:$B$397,$B249,'Inhalation Exposure_Short-Term'!$D$7:$D$397,$C249)),IF($J249="Central Tendency",VLOOKUP($B249,'Dermal Exposure'!$A$6:$L$19,9,FALSE),VLOOKUP($B249,'Dermal Exposure'!$A$6:$L$19,4,FALSE))),"--")</f>
        <v>54.274084124830388</v>
      </c>
      <c r="L249" s="88">
        <f>IFERROR(VLOOKUP($D249,$Y$9:$AB$10,2,FALSE)/IF($D249="Inhalation",IF($J249="Central Tendency",SUMIFS('Inhalation Exposure_8-hr'!$H$6:$H$411,'Inhalation Exposure_8-hr'!$B$6:$B$411,$B249,'Inhalation Exposure_8-hr'!$D$6:$D$411,$C249),SUMIFS('Inhalation Exposure_8-hr'!$I$6:$I$411,'Inhalation Exposure_8-hr'!$B$6:$B$411,$B249,'Inhalation Exposure_8-hr'!$D$6:$D$411,$C249)),IF($J249="Central Tendency",VLOOKUP($B249,'Dermal Exposure'!$A$6:$L$19,9,FALSE),VLOOKUP($B249,'Dermal Exposure'!$A$6:$L$19,4,FALSE))),"--")</f>
        <v>7.6714081906680089</v>
      </c>
      <c r="M249" s="88">
        <f>IFERROR(VLOOKUP($D249,$Y$9:$AB$10,3,FALSE)/IF($D249="Inhalation",IF($J249="Central Tendency",SUMIFS('Inhalation Exposure_8-hr'!$L$6:$L$411,'Inhalation Exposure_8-hr'!$B$6:$B$411,$B249,'Inhalation Exposure_8-hr'!$D$6:$D$411,$C249),SUMIFS('Inhalation Exposure_8-hr'!$M$6:$M$411,'Inhalation Exposure_8-hr'!$B$6:$B$411,$B249,'Inhalation Exposure_8-hr'!$D$6:$D$411,$C249)),IF($J249="Central Tendency",VLOOKUP($B249,'Dermal Exposure'!$A$6:$L$19,10,FALSE),VLOOKUP($B249,'Dermal Exposure'!$A$6:$L$19,5,FALSE))),"--")</f>
        <v>0.22682087467385331</v>
      </c>
      <c r="N249" s="89">
        <f>IFERROR(VLOOKUP($D249,$Y$9:$AB$10,4,FALSE)/IF($D249="Inhalation",IF($J249="Central Tendency",SUMIFS('Inhalation Exposure_8-hr'!$N$6:$N$411,'Inhalation Exposure_8-hr'!$B$6:$B$411,$B249,'Inhalation Exposure_8-hr'!$D$6:$D$411,$C249),SUMIFS('Inhalation Exposure_8-hr'!$O$6:$O$411,'Inhalation Exposure_8-hr'!$B$6:$B$411,$B249,'Inhalation Exposure_8-hr'!$D$6:$D$411,$C249)),IF($J249="Central Tendency",VLOOKUP($B249,'Dermal Exposure'!$A$6:$L$19,11,FALSE),VLOOKUP($B249,'Dermal Exposure'!$A$6:$L$19,6,FALSE))),"--")</f>
        <v>0.24284954981747228</v>
      </c>
      <c r="O249" s="91">
        <f>IFERROR(K249*T249, "--")</f>
        <v>542.74084124830392</v>
      </c>
      <c r="P249" s="91">
        <f>IFERROR(L249*U249, "--")</f>
        <v>76.714081906680093</v>
      </c>
      <c r="Q249" s="91">
        <f>IFERROR(M249*V249, "--")</f>
        <v>11.341043733692665</v>
      </c>
      <c r="R249" s="91">
        <f>IFERROR(N249*W249, "--")</f>
        <v>12.142477490873613</v>
      </c>
      <c r="T249" s="92">
        <v>10</v>
      </c>
      <c r="U249" s="93">
        <v>10</v>
      </c>
      <c r="V249" s="93">
        <v>50</v>
      </c>
      <c r="W249" s="94">
        <v>50</v>
      </c>
    </row>
    <row r="250" spans="2:23" ht="15" thickBot="1" x14ac:dyDescent="0.4">
      <c r="B250" s="82" t="s">
        <v>197</v>
      </c>
      <c r="C250" s="83" t="s">
        <v>68</v>
      </c>
      <c r="D250" s="83" t="s">
        <v>107</v>
      </c>
      <c r="E250" s="98"/>
      <c r="F250" s="98"/>
      <c r="G250" s="99"/>
      <c r="H250" s="100"/>
      <c r="I250" s="101"/>
      <c r="J250" s="113"/>
      <c r="K250" s="103"/>
      <c r="L250" s="103"/>
      <c r="M250" s="103"/>
      <c r="N250" s="104"/>
      <c r="O250" s="105" t="str">
        <f>CONCATENATE("(APF ",T249,")")</f>
        <v>(APF 10)</v>
      </c>
      <c r="P250" s="105" t="str">
        <f>CONCATENATE("(APF ",U249,")")</f>
        <v>(APF 10)</v>
      </c>
      <c r="Q250" s="105" t="str">
        <f>CONCATENATE("(APF ",V249,")")</f>
        <v>(APF 50)</v>
      </c>
      <c r="R250" s="105" t="str">
        <f>CONCATENATE("(APF ",W249,")")</f>
        <v>(APF 50)</v>
      </c>
      <c r="T250" s="106" t="s">
        <v>111</v>
      </c>
      <c r="U250" s="107" t="s">
        <v>111</v>
      </c>
      <c r="V250" s="107" t="s">
        <v>111</v>
      </c>
      <c r="W250" s="108" t="s">
        <v>111</v>
      </c>
    </row>
    <row r="251" spans="2:23" ht="15.75" customHeight="1" thickBot="1" x14ac:dyDescent="0.4">
      <c r="B251" s="82" t="s">
        <v>197</v>
      </c>
      <c r="C251" s="83" t="s">
        <v>68</v>
      </c>
      <c r="D251" s="83" t="s">
        <v>107</v>
      </c>
      <c r="E251" s="98"/>
      <c r="F251" s="98"/>
      <c r="G251" s="99"/>
      <c r="H251" s="100"/>
      <c r="I251" s="101"/>
      <c r="J251" s="86" t="s">
        <v>112</v>
      </c>
      <c r="K251" s="88">
        <f>IFERROR(VLOOKUP($D251,$Y$9:$AB$10,2,FALSE)/IF($D251="Inhalation",IF($J251="Central Tendency",SUMIFS('Inhalation Exposure_Short-Term'!$F$7:$F$397,'Inhalation Exposure_Short-Term'!$B$7:$B$397,$B251,'Inhalation Exposure_Short-Term'!$D$7:$D$397,$C251),SUMIFS('Inhalation Exposure_Short-Term'!$G$7:$G$397,'Inhalation Exposure_Short-Term'!$B$7:$B$397,$B251,'Inhalation Exposure_Short-Term'!$D$7:$D$397,$C251)),IF($J251="Central Tendency",VLOOKUP($B251,'Dermal Exposure'!$A$6:$L$19,9,FALSE),VLOOKUP($B251,'Dermal Exposure'!$A$6:$L$19,4,FALSE))),"--")</f>
        <v>11.953203608985042</v>
      </c>
      <c r="L251" s="88">
        <f>IFERROR(VLOOKUP($D251,$Y$9:$AB$10,2,FALSE)/IF($D251="Inhalation",IF($J251="Central Tendency",SUMIFS('Inhalation Exposure_8-hr'!$H$6:$H$411,'Inhalation Exposure_8-hr'!$B$6:$B$411,$B251,'Inhalation Exposure_8-hr'!$D$6:$D$411,$C251),SUMIFS('Inhalation Exposure_8-hr'!$I$6:$I$411,'Inhalation Exposure_8-hr'!$B$6:$B$411,$B251,'Inhalation Exposure_8-hr'!$D$6:$D$411,$C251)),IF($J251="Central Tendency",VLOOKUP($B251,'Dermal Exposure'!$A$6:$L$19,9,FALSE),VLOOKUP($B251,'Dermal Exposure'!$A$6:$L$19,4,FALSE))),"--")</f>
        <v>3.5206207615526841</v>
      </c>
      <c r="M251" s="88">
        <f>IFERROR(VLOOKUP($D251,$Y$9:$AB$10,3,FALSE)/IF($D251="Inhalation",IF($J251="Central Tendency",SUMIFS('Inhalation Exposure_8-hr'!$L$6:$L$411,'Inhalation Exposure_8-hr'!$B$6:$B$411,$B251,'Inhalation Exposure_8-hr'!$D$6:$D$411,$C251),SUMIFS('Inhalation Exposure_8-hr'!$M$6:$M$411,'Inhalation Exposure_8-hr'!$B$6:$B$411,$B251,'Inhalation Exposure_8-hr'!$D$6:$D$411,$C251)),IF($J251="Central Tendency",VLOOKUP($B251,'Dermal Exposure'!$A$6:$L$19,10,FALSE),VLOOKUP($B251,'Dermal Exposure'!$A$6:$L$19,5,FALSE))),"--")</f>
        <v>0.10409435408504465</v>
      </c>
      <c r="N251" s="89">
        <f>IFERROR(VLOOKUP($D251,$Y$9:$AB$10,4,FALSE)/IF($D251="Inhalation",IF($J251="Central Tendency",SUMIFS('Inhalation Exposure_8-hr'!$N$6:$N$411,'Inhalation Exposure_8-hr'!$B$6:$B$411,$B251,'Inhalation Exposure_8-hr'!$D$6:$D$411,$C251),SUMIFS('Inhalation Exposure_8-hr'!$O$6:$O$411,'Inhalation Exposure_8-hr'!$B$6:$B$411,$B251,'Inhalation Exposure_8-hr'!$D$6:$D$411,$C251)),IF($J251="Central Tendency",VLOOKUP($B251,'Dermal Exposure'!$A$6:$L$19,11,FALSE),VLOOKUP($B251,'Dermal Exposure'!$A$6:$L$19,6,FALSE))),"--")</f>
        <v>0.11145035510705445</v>
      </c>
      <c r="O251" s="91">
        <f>IFERROR(K251*T251, "--")</f>
        <v>119.53203608985042</v>
      </c>
      <c r="P251" s="91">
        <f>IFERROR(L251*U251, "--")</f>
        <v>35.206207615526843</v>
      </c>
      <c r="Q251" s="91">
        <f>IFERROR(M251*V251, "--")</f>
        <v>1.0409435408504466</v>
      </c>
      <c r="R251" s="91">
        <f>IFERROR(N251*W251, "--")</f>
        <v>1.1145035510705446</v>
      </c>
      <c r="T251" s="109">
        <v>10</v>
      </c>
      <c r="U251" s="110">
        <v>10</v>
      </c>
      <c r="V251" s="110">
        <v>10</v>
      </c>
      <c r="W251" s="111">
        <v>10</v>
      </c>
    </row>
    <row r="252" spans="2:23" ht="15" thickBot="1" x14ac:dyDescent="0.4">
      <c r="B252" s="82" t="s">
        <v>197</v>
      </c>
      <c r="C252" s="83" t="s">
        <v>68</v>
      </c>
      <c r="D252" s="83" t="s">
        <v>107</v>
      </c>
      <c r="E252" s="98"/>
      <c r="F252" s="98"/>
      <c r="G252" s="112"/>
      <c r="H252" s="100"/>
      <c r="I252" s="113"/>
      <c r="J252" s="113"/>
      <c r="K252" s="103"/>
      <c r="L252" s="103"/>
      <c r="M252" s="103"/>
      <c r="N252" s="104"/>
      <c r="O252" s="105" t="str">
        <f>CONCATENATE("(APF ",T251,")")</f>
        <v>(APF 10)</v>
      </c>
      <c r="P252" s="105" t="str">
        <f>CONCATENATE("(APF ",U251,")")</f>
        <v>(APF 10)</v>
      </c>
      <c r="Q252" s="105" t="str">
        <f>CONCATENATE("(APF ",V251,")")</f>
        <v>(APF 10)</v>
      </c>
      <c r="R252" s="105" t="str">
        <f>CONCATENATE("(APF ",W251,")")</f>
        <v>(APF 10)</v>
      </c>
      <c r="T252" s="114" t="s">
        <v>111</v>
      </c>
      <c r="U252" s="115" t="s">
        <v>111</v>
      </c>
      <c r="V252" s="115" t="s">
        <v>111</v>
      </c>
      <c r="W252" s="116" t="s">
        <v>111</v>
      </c>
    </row>
    <row r="253" spans="2:23" ht="15.75" customHeight="1" thickBot="1" x14ac:dyDescent="0.4">
      <c r="B253" s="82" t="s">
        <v>200</v>
      </c>
      <c r="C253" s="83" t="s">
        <v>68</v>
      </c>
      <c r="D253" s="83" t="s">
        <v>107</v>
      </c>
      <c r="E253" s="98"/>
      <c r="F253" s="98"/>
      <c r="G253" s="85" t="s">
        <v>538</v>
      </c>
      <c r="H253" s="100"/>
      <c r="I253" s="86" t="s">
        <v>110</v>
      </c>
      <c r="J253" s="86" t="s">
        <v>71</v>
      </c>
      <c r="K253" s="88">
        <f>IFERROR(VLOOKUP($D253,$Y$9:$AB$10,2,FALSE)/IF($D253="Inhalation",IF($J253="Central Tendency",SUMIFS('Inhalation Exposure_Short-Term'!$F$7:$F$397,'Inhalation Exposure_Short-Term'!$B$7:$B$397,$B253,'Inhalation Exposure_Short-Term'!$D$7:$D$397,$C253),SUMIFS('Inhalation Exposure_Short-Term'!$G$7:$G$397,'Inhalation Exposure_Short-Term'!$B$7:$B$397,$B253,'Inhalation Exposure_Short-Term'!$D$7:$D$397,$C253)),IF($J253="Central Tendency",VLOOKUP($B253,'Dermal Exposure'!$A$6:$L$19,9,FALSE),VLOOKUP($B253,'Dermal Exposure'!$A$6:$L$19,4,FALSE))),"--")</f>
        <v>16.541045866199241</v>
      </c>
      <c r="L253" s="88">
        <f>IFERROR(VLOOKUP($D253,$Y$9:$AB$10,2,FALSE)/IF($D253="Inhalation",IF($J253="Central Tendency",SUMIFS('Inhalation Exposure_8-hr'!$H$6:$H$411,'Inhalation Exposure_8-hr'!$B$6:$B$411,$B253,'Inhalation Exposure_8-hr'!$D$6:$D$411,$C253),SUMIFS('Inhalation Exposure_8-hr'!$I$6:$I$411,'Inhalation Exposure_8-hr'!$B$6:$B$411,$B253,'Inhalation Exposure_8-hr'!$D$6:$D$411,$C253)),IF($J253="Central Tendency",VLOOKUP($B253,'Dermal Exposure'!$A$6:$L$19,9,FALSE),VLOOKUP($B253,'Dermal Exposure'!$A$6:$L$19,4,FALSE))),"--")</f>
        <v>872.02078727441699</v>
      </c>
      <c r="M253" s="88">
        <f>IFERROR(VLOOKUP($D253,$Y$9:$AB$10,3,FALSE)/IF($D253="Inhalation",IF($J253="Central Tendency",SUMIFS('Inhalation Exposure_8-hr'!$L$6:$L$411,'Inhalation Exposure_8-hr'!$B$6:$B$411,$B253,'Inhalation Exposure_8-hr'!$D$6:$D$411,$C253),SUMIFS('Inhalation Exposure_8-hr'!$M$6:$M$411,'Inhalation Exposure_8-hr'!$B$6:$B$411,$B253,'Inhalation Exposure_8-hr'!$D$6:$D$411,$C253)),IF($J253="Central Tendency",VLOOKUP($B253,'Dermal Exposure'!$A$6:$L$19,10,FALSE),VLOOKUP($B253,'Dermal Exposure'!$A$6:$L$19,5,FALSE))),"--")</f>
        <v>25.783078254651201</v>
      </c>
      <c r="N253" s="89">
        <f>IFERROR(VLOOKUP($D253,$Y$9:$AB$10,4,FALSE)/IF($D253="Inhalation",IF($J253="Central Tendency",SUMIFS('Inhalation Exposure_8-hr'!$N$6:$N$411,'Inhalation Exposure_8-hr'!$B$6:$B$411,$B253,'Inhalation Exposure_8-hr'!$D$6:$D$411,$C253),SUMIFS('Inhalation Exposure_8-hr'!$O$6:$O$411,'Inhalation Exposure_8-hr'!$B$6:$B$411,$B253,'Inhalation Exposure_8-hr'!$D$6:$D$411,$C253)),IF($J253="Central Tendency",VLOOKUP($B253,'Dermal Exposure'!$A$6:$L$19,11,FALSE),VLOOKUP($B253,'Dermal Exposure'!$A$6:$L$19,6,FALSE))),"--")</f>
        <v>27.605082451313219</v>
      </c>
      <c r="O253" s="91">
        <f>IFERROR(K253*T253, "--")</f>
        <v>165.41045866199241</v>
      </c>
      <c r="P253" s="91">
        <f>IFERROR(L253*U253, "--")</f>
        <v>8720.2078727441694</v>
      </c>
      <c r="Q253" s="91">
        <f>IFERROR(M253*V253, "--")</f>
        <v>1289.15391273256</v>
      </c>
      <c r="R253" s="91">
        <f>IFERROR(N253*W253, "--")</f>
        <v>1380.254122565661</v>
      </c>
      <c r="T253" s="92">
        <v>10</v>
      </c>
      <c r="U253" s="93">
        <v>10</v>
      </c>
      <c r="V253" s="93">
        <v>50</v>
      </c>
      <c r="W253" s="94">
        <v>50</v>
      </c>
    </row>
    <row r="254" spans="2:23" ht="15" thickBot="1" x14ac:dyDescent="0.4">
      <c r="B254" s="82" t="s">
        <v>200</v>
      </c>
      <c r="C254" s="83" t="s">
        <v>68</v>
      </c>
      <c r="D254" s="83" t="s">
        <v>107</v>
      </c>
      <c r="E254" s="98"/>
      <c r="F254" s="98"/>
      <c r="G254" s="99"/>
      <c r="H254" s="100"/>
      <c r="I254" s="101"/>
      <c r="J254" s="113"/>
      <c r="K254" s="103"/>
      <c r="L254" s="103"/>
      <c r="M254" s="103"/>
      <c r="N254" s="104"/>
      <c r="O254" s="105" t="str">
        <f>CONCATENATE("(APF ",T253,")")</f>
        <v>(APF 10)</v>
      </c>
      <c r="P254" s="105" t="str">
        <f>CONCATENATE("(APF ",U253,")")</f>
        <v>(APF 10)</v>
      </c>
      <c r="Q254" s="105" t="str">
        <f>CONCATENATE("(APF ",V253,")")</f>
        <v>(APF 50)</v>
      </c>
      <c r="R254" s="105" t="str">
        <f>CONCATENATE("(APF ",W253,")")</f>
        <v>(APF 50)</v>
      </c>
      <c r="T254" s="106" t="s">
        <v>111</v>
      </c>
      <c r="U254" s="107" t="s">
        <v>111</v>
      </c>
      <c r="V254" s="107" t="s">
        <v>111</v>
      </c>
      <c r="W254" s="108" t="s">
        <v>111</v>
      </c>
    </row>
    <row r="255" spans="2:23" ht="15.75" customHeight="1" thickBot="1" x14ac:dyDescent="0.4">
      <c r="B255" s="82" t="s">
        <v>200</v>
      </c>
      <c r="C255" s="83" t="s">
        <v>68</v>
      </c>
      <c r="D255" s="83" t="s">
        <v>107</v>
      </c>
      <c r="E255" s="98"/>
      <c r="F255" s="98"/>
      <c r="G255" s="99"/>
      <c r="H255" s="100"/>
      <c r="I255" s="101"/>
      <c r="J255" s="86" t="s">
        <v>112</v>
      </c>
      <c r="K255" s="88">
        <f>IFERROR(VLOOKUP($D255,$Y$9:$AB$10,2,FALSE)/IF($D255="Inhalation",IF($J255="Central Tendency",SUMIFS('Inhalation Exposure_Short-Term'!$F$7:$F$397,'Inhalation Exposure_Short-Term'!$B$7:$B$397,$B255,'Inhalation Exposure_Short-Term'!$D$7:$D$397,$C255),SUMIFS('Inhalation Exposure_Short-Term'!$G$7:$G$397,'Inhalation Exposure_Short-Term'!$B$7:$B$397,$B255,'Inhalation Exposure_Short-Term'!$D$7:$D$397,$C255)),IF($J255="Central Tendency",VLOOKUP($B255,'Dermal Exposure'!$A$6:$L$19,9,FALSE),VLOOKUP($B255,'Dermal Exposure'!$A$6:$L$19,4,FALSE))),"--")</f>
        <v>12.517548223069697</v>
      </c>
      <c r="L255" s="88">
        <f>IFERROR(VLOOKUP($D255,$Y$9:$AB$10,2,FALSE)/IF($D255="Inhalation",IF($J255="Central Tendency",SUMIFS('Inhalation Exposure_8-hr'!$H$6:$H$411,'Inhalation Exposure_8-hr'!$B$6:$B$411,$B255,'Inhalation Exposure_8-hr'!$D$6:$D$411,$C255),SUMIFS('Inhalation Exposure_8-hr'!$I$6:$I$411,'Inhalation Exposure_8-hr'!$B$6:$B$411,$B255,'Inhalation Exposure_8-hr'!$D$6:$D$411,$C255)),IF($J255="Central Tendency",VLOOKUP($B255,'Dermal Exposure'!$A$6:$L$19,9,FALSE),VLOOKUP($B255,'Dermal Exposure'!$A$6:$L$19,4,FALSE))),"--")</f>
        <v>30.886002250773039</v>
      </c>
      <c r="M255" s="88">
        <f>IFERROR(VLOOKUP($D255,$Y$9:$AB$10,3,FALSE)/IF($D255="Inhalation",IF($J255="Central Tendency",SUMIFS('Inhalation Exposure_8-hr'!$L$6:$L$411,'Inhalation Exposure_8-hr'!$B$6:$B$411,$B255,'Inhalation Exposure_8-hr'!$D$6:$D$411,$C255),SUMIFS('Inhalation Exposure_8-hr'!$M$6:$M$411,'Inhalation Exposure_8-hr'!$B$6:$B$411,$B255,'Inhalation Exposure_8-hr'!$D$6:$D$411,$C255)),IF($J255="Central Tendency",VLOOKUP($B255,'Dermal Exposure'!$A$6:$L$19,10,FALSE),VLOOKUP($B255,'Dermal Exposure'!$A$6:$L$19,5,FALSE))),"--")</f>
        <v>0.91320783245779968</v>
      </c>
      <c r="N255" s="89">
        <f>IFERROR(VLOOKUP($D255,$Y$9:$AB$10,4,FALSE)/IF($D255="Inhalation",IF($J255="Central Tendency",SUMIFS('Inhalation Exposure_8-hr'!$N$6:$N$411,'Inhalation Exposure_8-hr'!$B$6:$B$411,$B255,'Inhalation Exposure_8-hr'!$D$6:$D$411,$C255),SUMIFS('Inhalation Exposure_8-hr'!$O$6:$O$411,'Inhalation Exposure_8-hr'!$B$6:$B$411,$B255,'Inhalation Exposure_8-hr'!$D$6:$D$411,$C255)),IF($J255="Central Tendency",VLOOKUP($B255,'Dermal Exposure'!$A$6:$L$19,11,FALSE),VLOOKUP($B255,'Dermal Exposure'!$A$6:$L$19,6,FALSE))),"--")</f>
        <v>0.97774118595148407</v>
      </c>
      <c r="O255" s="91">
        <f>IFERROR(K255*T255, "--")</f>
        <v>125.17548223069697</v>
      </c>
      <c r="P255" s="91">
        <f>IFERROR(L255*U255, "--")</f>
        <v>308.86002250773038</v>
      </c>
      <c r="Q255" s="91">
        <f>IFERROR(M255*V255, "--")</f>
        <v>9.1320783245779964</v>
      </c>
      <c r="R255" s="91">
        <f>IFERROR(N255*W255, "--")</f>
        <v>9.7774118595148405</v>
      </c>
      <c r="T255" s="109">
        <v>10</v>
      </c>
      <c r="U255" s="110">
        <v>10</v>
      </c>
      <c r="V255" s="110">
        <v>10</v>
      </c>
      <c r="W255" s="111">
        <v>10</v>
      </c>
    </row>
    <row r="256" spans="2:23" ht="15" thickBot="1" x14ac:dyDescent="0.4">
      <c r="B256" s="82" t="s">
        <v>200</v>
      </c>
      <c r="C256" s="83" t="s">
        <v>68</v>
      </c>
      <c r="D256" s="83" t="s">
        <v>107</v>
      </c>
      <c r="E256" s="98"/>
      <c r="F256" s="98"/>
      <c r="G256" s="112"/>
      <c r="H256" s="100"/>
      <c r="I256" s="113"/>
      <c r="J256" s="113"/>
      <c r="K256" s="103"/>
      <c r="L256" s="103"/>
      <c r="M256" s="103"/>
      <c r="N256" s="104"/>
      <c r="O256" s="105" t="str">
        <f>CONCATENATE("(APF ",T255,")")</f>
        <v>(APF 10)</v>
      </c>
      <c r="P256" s="105" t="str">
        <f>CONCATENATE("(APF ",U255,")")</f>
        <v>(APF 10)</v>
      </c>
      <c r="Q256" s="105" t="str">
        <f>CONCATENATE("(APF ",V255,")")</f>
        <v>(APF 10)</v>
      </c>
      <c r="R256" s="105" t="str">
        <f>CONCATENATE("(APF ",W255,")")</f>
        <v>(APF 10)</v>
      </c>
      <c r="T256" s="114" t="s">
        <v>111</v>
      </c>
      <c r="U256" s="115" t="s">
        <v>111</v>
      </c>
      <c r="V256" s="115" t="s">
        <v>111</v>
      </c>
      <c r="W256" s="116" t="s">
        <v>111</v>
      </c>
    </row>
    <row r="257" spans="2:29" ht="15.75" customHeight="1" thickBot="1" x14ac:dyDescent="0.4">
      <c r="B257" s="82" t="s">
        <v>202</v>
      </c>
      <c r="C257" s="83" t="s">
        <v>68</v>
      </c>
      <c r="D257" s="83" t="s">
        <v>107</v>
      </c>
      <c r="E257" s="98"/>
      <c r="F257" s="98"/>
      <c r="G257" s="85" t="s">
        <v>181</v>
      </c>
      <c r="H257" s="100"/>
      <c r="I257" s="86" t="s">
        <v>110</v>
      </c>
      <c r="J257" s="86" t="s">
        <v>71</v>
      </c>
      <c r="K257" s="88" t="str">
        <f>IFERROR(VLOOKUP($D257,$Y$9:$AB$10,2,FALSE)/IF($D257="Inhalation",IF($J257="Central Tendency",SUMIFS('Inhalation Exposure_Short-Term'!$F$7:$F$397,'Inhalation Exposure_Short-Term'!$B$7:$B$397,$B257,'Inhalation Exposure_Short-Term'!$D$7:$D$397,$C257),SUMIFS('Inhalation Exposure_Short-Term'!$G$7:$G$397,'Inhalation Exposure_Short-Term'!$B$7:$B$397,$B257,'Inhalation Exposure_Short-Term'!$D$7:$D$397,$C257)),IF($J257="Central Tendency",VLOOKUP($B257,'Dermal Exposure'!$A$6:$L$19,9,FALSE),VLOOKUP($B257,'Dermal Exposure'!$A$6:$L$19,4,FALSE))),"--")</f>
        <v>--</v>
      </c>
      <c r="L257" s="88">
        <f>IFERROR(VLOOKUP($D257,$Y$9:$AB$10,2,FALSE)/IF($D257="Inhalation",IF($J257="Central Tendency",SUMIFS('Inhalation Exposure_8-hr'!$H$6:$H$411,'Inhalation Exposure_8-hr'!$B$6:$B$411,$B257,'Inhalation Exposure_8-hr'!$D$6:$D$411,$C257),SUMIFS('Inhalation Exposure_8-hr'!$I$6:$I$411,'Inhalation Exposure_8-hr'!$B$6:$B$411,$B257,'Inhalation Exposure_8-hr'!$D$6:$D$411,$C257)),IF($J257="Central Tendency",VLOOKUP($B257,'Dermal Exposure'!$A$6:$L$19,9,FALSE),VLOOKUP($B257,'Dermal Exposure'!$A$6:$L$19,4,FALSE))),"--")</f>
        <v>335.67735787606722</v>
      </c>
      <c r="M257" s="88">
        <f>IFERROR(VLOOKUP($D257,$Y$9:$AB$10,3,FALSE)/IF($D257="Inhalation",IF($J257="Central Tendency",SUMIFS('Inhalation Exposure_8-hr'!$L$6:$L$411,'Inhalation Exposure_8-hr'!$B$6:$B$411,$B257,'Inhalation Exposure_8-hr'!$D$6:$D$411,$C257),SUMIFS('Inhalation Exposure_8-hr'!$M$6:$M$411,'Inhalation Exposure_8-hr'!$B$6:$B$411,$B257,'Inhalation Exposure_8-hr'!$D$6:$D$411,$C257)),IF($J257="Central Tendency",VLOOKUP($B257,'Dermal Exposure'!$A$6:$L$19,10,FALSE),VLOOKUP($B257,'Dermal Exposure'!$A$6:$L$19,5,FALSE))),"--")</f>
        <v>9.9249876983834007</v>
      </c>
      <c r="N257" s="89">
        <f>IFERROR(VLOOKUP($D257,$Y$9:$AB$10,4,FALSE)/IF($D257="Inhalation",IF($J257="Central Tendency",SUMIFS('Inhalation Exposure_8-hr'!$N$6:$N$411,'Inhalation Exposure_8-hr'!$B$6:$B$411,$B257,'Inhalation Exposure_8-hr'!$D$6:$D$411,$C257),SUMIFS('Inhalation Exposure_8-hr'!$O$6:$O$411,'Inhalation Exposure_8-hr'!$B$6:$B$411,$B257,'Inhalation Exposure_8-hr'!$D$6:$D$411,$C257)),IF($J257="Central Tendency",VLOOKUP($B257,'Dermal Exposure'!$A$6:$L$19,11,FALSE),VLOOKUP($B257,'Dermal Exposure'!$A$6:$L$19,6,FALSE))),"--")</f>
        <v>10.626353495735827</v>
      </c>
      <c r="O257" s="91" t="str">
        <f>IFERROR(K257*T257, "--")</f>
        <v>--</v>
      </c>
      <c r="P257" s="91">
        <f>IFERROR(L257*U257, "--")</f>
        <v>3356.7735787606721</v>
      </c>
      <c r="Q257" s="91">
        <f>IFERROR(M257*V257, "--")</f>
        <v>496.24938491917004</v>
      </c>
      <c r="R257" s="91">
        <f>IFERROR(N257*W257, "--")</f>
        <v>531.31767478679137</v>
      </c>
      <c r="T257" s="92">
        <v>10</v>
      </c>
      <c r="U257" s="93">
        <v>10</v>
      </c>
      <c r="V257" s="93">
        <v>50</v>
      </c>
      <c r="W257" s="94">
        <v>50</v>
      </c>
    </row>
    <row r="258" spans="2:29" ht="15" thickBot="1" x14ac:dyDescent="0.4">
      <c r="B258" s="82" t="s">
        <v>202</v>
      </c>
      <c r="C258" s="83" t="s">
        <v>68</v>
      </c>
      <c r="D258" s="83" t="s">
        <v>107</v>
      </c>
      <c r="E258" s="98"/>
      <c r="F258" s="98"/>
      <c r="G258" s="99"/>
      <c r="H258" s="100"/>
      <c r="I258" s="101"/>
      <c r="J258" s="113"/>
      <c r="K258" s="103"/>
      <c r="L258" s="103"/>
      <c r="M258" s="103"/>
      <c r="N258" s="104"/>
      <c r="O258" s="105" t="str">
        <f>CONCATENATE("(APF ",T257,")")</f>
        <v>(APF 10)</v>
      </c>
      <c r="P258" s="105" t="str">
        <f>CONCATENATE("(APF ",U257,")")</f>
        <v>(APF 10)</v>
      </c>
      <c r="Q258" s="105" t="str">
        <f>CONCATENATE("(APF ",V257,")")</f>
        <v>(APF 50)</v>
      </c>
      <c r="R258" s="105" t="str">
        <f>CONCATENATE("(APF ",W257,")")</f>
        <v>(APF 50)</v>
      </c>
      <c r="T258" s="106" t="s">
        <v>111</v>
      </c>
      <c r="U258" s="107" t="s">
        <v>111</v>
      </c>
      <c r="V258" s="107" t="s">
        <v>111</v>
      </c>
      <c r="W258" s="108" t="s">
        <v>111</v>
      </c>
    </row>
    <row r="259" spans="2:29" ht="15.75" customHeight="1" thickBot="1" x14ac:dyDescent="0.4">
      <c r="B259" s="82" t="s">
        <v>202</v>
      </c>
      <c r="C259" s="83" t="s">
        <v>68</v>
      </c>
      <c r="D259" s="83" t="s">
        <v>107</v>
      </c>
      <c r="E259" s="98"/>
      <c r="F259" s="98"/>
      <c r="G259" s="99"/>
      <c r="H259" s="100"/>
      <c r="I259" s="101"/>
      <c r="J259" s="86" t="s">
        <v>112</v>
      </c>
      <c r="K259" s="88" t="str">
        <f>IFERROR(VLOOKUP($D259,$Y$9:$AB$10,2,FALSE)/IF($D259="Inhalation",IF($J259="Central Tendency",SUMIFS('Inhalation Exposure_Short-Term'!$F$7:$F$397,'Inhalation Exposure_Short-Term'!$B$7:$B$397,$B259,'Inhalation Exposure_Short-Term'!$D$7:$D$397,$C259),SUMIFS('Inhalation Exposure_Short-Term'!$G$7:$G$397,'Inhalation Exposure_Short-Term'!$B$7:$B$397,$B259,'Inhalation Exposure_Short-Term'!$D$7:$D$397,$C259)),IF($J259="Central Tendency",VLOOKUP($B259,'Dermal Exposure'!$A$6:$L$19,9,FALSE),VLOOKUP($B259,'Dermal Exposure'!$A$6:$L$19,4,FALSE))),"--")</f>
        <v>--</v>
      </c>
      <c r="L259" s="88">
        <f>IFERROR(VLOOKUP($D259,$Y$9:$AB$10,2,FALSE)/IF($D259="Inhalation",IF($J259="Central Tendency",SUMIFS('Inhalation Exposure_8-hr'!$H$6:$H$411,'Inhalation Exposure_8-hr'!$B$6:$B$411,$B259,'Inhalation Exposure_8-hr'!$D$6:$D$411,$C259),SUMIFS('Inhalation Exposure_8-hr'!$I$6:$I$411,'Inhalation Exposure_8-hr'!$B$6:$B$411,$B259,'Inhalation Exposure_8-hr'!$D$6:$D$411,$C259)),IF($J259="Central Tendency",VLOOKUP($B259,'Dermal Exposure'!$A$6:$L$19,9,FALSE),VLOOKUP($B259,'Dermal Exposure'!$A$6:$L$19,4,FALSE))),"--")</f>
        <v>13.251233120573289</v>
      </c>
      <c r="M259" s="88">
        <f>IFERROR(VLOOKUP($D259,$Y$9:$AB$10,3,FALSE)/IF($D259="Inhalation",IF($J259="Central Tendency",SUMIFS('Inhalation Exposure_8-hr'!$L$6:$L$411,'Inhalation Exposure_8-hr'!$B$6:$B$411,$B259,'Inhalation Exposure_8-hr'!$D$6:$D$411,$C259),SUMIFS('Inhalation Exposure_8-hr'!$M$6:$M$411,'Inhalation Exposure_8-hr'!$B$6:$B$411,$B259,'Inhalation Exposure_8-hr'!$D$6:$D$411,$C259)),IF($J259="Central Tendency",VLOOKUP($B259,'Dermal Exposure'!$A$6:$L$19,10,FALSE),VLOOKUP($B259,'Dermal Exposure'!$A$6:$L$19,5,FALSE))),"--")</f>
        <v>0.39179981200476865</v>
      </c>
      <c r="N259" s="89">
        <f>IFERROR(VLOOKUP($D259,$Y$9:$AB$10,4,FALSE)/IF($D259="Inhalation",IF($J259="Central Tendency",SUMIFS('Inhalation Exposure_8-hr'!$N$6:$N$411,'Inhalation Exposure_8-hr'!$B$6:$B$411,$B259,'Inhalation Exposure_8-hr'!$D$6:$D$411,$C259),SUMIFS('Inhalation Exposure_8-hr'!$O$6:$O$411,'Inhalation Exposure_8-hr'!$B$6:$B$411,$B259,'Inhalation Exposure_8-hr'!$D$6:$D$411,$C259)),IF($J259="Central Tendency",VLOOKUP($B259,'Dermal Exposure'!$A$6:$L$19,11,FALSE),VLOOKUP($B259,'Dermal Exposure'!$A$6:$L$19,6,FALSE))),"--")</f>
        <v>0.41948699871977235</v>
      </c>
      <c r="O259" s="91" t="str">
        <f>IFERROR(K259*T259, "--")</f>
        <v>--</v>
      </c>
      <c r="P259" s="91">
        <f>IFERROR(L259*U259, "--")</f>
        <v>132.51233120573289</v>
      </c>
      <c r="Q259" s="91">
        <f>IFERROR(M259*V259, "--")</f>
        <v>3.9179981200476863</v>
      </c>
      <c r="R259" s="91">
        <f>IFERROR(N259*W259, "--")</f>
        <v>4.1948699871977233</v>
      </c>
      <c r="T259" s="109">
        <v>10</v>
      </c>
      <c r="U259" s="110">
        <v>10</v>
      </c>
      <c r="V259" s="110">
        <v>10</v>
      </c>
      <c r="W259" s="111">
        <v>10</v>
      </c>
    </row>
    <row r="260" spans="2:29" ht="15" thickBot="1" x14ac:dyDescent="0.4">
      <c r="B260" s="82" t="s">
        <v>202</v>
      </c>
      <c r="C260" s="83" t="s">
        <v>68</v>
      </c>
      <c r="D260" s="83" t="s">
        <v>107</v>
      </c>
      <c r="E260" s="98"/>
      <c r="F260" s="98"/>
      <c r="G260" s="112"/>
      <c r="H260" s="118"/>
      <c r="I260" s="113"/>
      <c r="J260" s="113"/>
      <c r="K260" s="103"/>
      <c r="L260" s="103"/>
      <c r="M260" s="103"/>
      <c r="N260" s="104"/>
      <c r="O260" s="105" t="str">
        <f>CONCATENATE("(APF ",T259,")")</f>
        <v>(APF 10)</v>
      </c>
      <c r="P260" s="105" t="str">
        <f>CONCATENATE("(APF ",U259,")")</f>
        <v>(APF 10)</v>
      </c>
      <c r="Q260" s="105" t="str">
        <f>CONCATENATE("(APF ",V259,")")</f>
        <v>(APF 10)</v>
      </c>
      <c r="R260" s="105" t="str">
        <f>CONCATENATE("(APF ",W259,")")</f>
        <v>(APF 10)</v>
      </c>
      <c r="T260" s="114" t="s">
        <v>111</v>
      </c>
      <c r="U260" s="115" t="s">
        <v>111</v>
      </c>
      <c r="V260" s="115" t="s">
        <v>111</v>
      </c>
      <c r="W260" s="116" t="s">
        <v>111</v>
      </c>
    </row>
    <row r="261" spans="2:29" ht="15.75" customHeight="1" thickBot="1" x14ac:dyDescent="0.4">
      <c r="B261" s="82" t="s">
        <v>203</v>
      </c>
      <c r="C261" s="83" t="s">
        <v>80</v>
      </c>
      <c r="D261" s="83" t="s">
        <v>107</v>
      </c>
      <c r="E261" s="98"/>
      <c r="F261" s="98"/>
      <c r="G261" s="85" t="s">
        <v>539</v>
      </c>
      <c r="H261" s="86" t="s">
        <v>80</v>
      </c>
      <c r="I261" s="86" t="s">
        <v>110</v>
      </c>
      <c r="J261" s="86" t="s">
        <v>71</v>
      </c>
      <c r="K261" s="88" t="str">
        <f>IFERROR(VLOOKUP($D261,$Y$9:$AB$10,2,FALSE)/IF($D261="Inhalation",IF($J261="Central Tendency",SUMIFS('Inhalation Exposure_Short-Term'!$F$7:$F$397,'Inhalation Exposure_Short-Term'!$B$7:$B$397,$B261,'Inhalation Exposure_Short-Term'!$D$7:$D$397,$C261),SUMIFS('Inhalation Exposure_Short-Term'!$G$7:$G$397,'Inhalation Exposure_Short-Term'!$B$7:$B$397,$B261,'Inhalation Exposure_Short-Term'!$D$7:$D$397,$C261)),IF($J261="Central Tendency",VLOOKUP($B261,'Dermal Exposure'!$A$6:$L$19,9,FALSE),VLOOKUP($B261,'Dermal Exposure'!$A$6:$L$19,4,FALSE))),"--")</f>
        <v>--</v>
      </c>
      <c r="L261" s="88">
        <f>IFERROR(VLOOKUP($D261,$Y$9:$AB$10,2,FALSE)/IF($D261="Inhalation",IF($J261="Central Tendency",SUMIFS('Inhalation Exposure_8-hr'!$H$6:$H$411,'Inhalation Exposure_8-hr'!$B$6:$B$411,$B261,'Inhalation Exposure_8-hr'!$D$6:$D$411,$C261),SUMIFS('Inhalation Exposure_8-hr'!$I$6:$I$411,'Inhalation Exposure_8-hr'!$B$6:$B$411,$B261,'Inhalation Exposure_8-hr'!$D$6:$D$411,$C261)),IF($J261="Central Tendency",VLOOKUP($B261,'Dermal Exposure'!$A$6:$L$19,9,FALSE),VLOOKUP($B261,'Dermal Exposure'!$A$6:$L$19,4,FALSE))),"--")</f>
        <v>256.41025641025641</v>
      </c>
      <c r="M261" s="88">
        <f>IFERROR(VLOOKUP($D261,$Y$9:$AB$10,3,FALSE)/IF($D261="Inhalation",IF($J261="Central Tendency",SUMIFS('Inhalation Exposure_8-hr'!$L$6:$L$411,'Inhalation Exposure_8-hr'!$B$6:$B$411,$B261,'Inhalation Exposure_8-hr'!$D$6:$D$411,$C261),SUMIFS('Inhalation Exposure_8-hr'!$M$6:$M$411,'Inhalation Exposure_8-hr'!$B$6:$B$411,$B261,'Inhalation Exposure_8-hr'!$D$6:$D$411,$C261)),IF($J261="Central Tendency",VLOOKUP($B261,'Dermal Exposure'!$A$6:$L$19,10,FALSE),VLOOKUP($B261,'Dermal Exposure'!$A$6:$L$19,5,FALSE))),"--")</f>
        <v>7.5812937062937067</v>
      </c>
      <c r="N261" s="89">
        <f>IFERROR(VLOOKUP($D261,$Y$9:$AB$10,4,FALSE)/IF($D261="Inhalation",IF($J261="Central Tendency",SUMIFS('Inhalation Exposure_8-hr'!$N$6:$N$411,'Inhalation Exposure_8-hr'!$B$6:$B$411,$B261,'Inhalation Exposure_8-hr'!$D$6:$D$411,$C261),SUMIFS('Inhalation Exposure_8-hr'!$O$6:$O$411,'Inhalation Exposure_8-hr'!$B$6:$B$411,$B261,'Inhalation Exposure_8-hr'!$D$6:$D$411,$C261)),IF($J261="Central Tendency",VLOOKUP($B261,'Dermal Exposure'!$A$6:$L$19,11,FALSE),VLOOKUP($B261,'Dermal Exposure'!$A$6:$L$19,6,FALSE))),"--")</f>
        <v>8.1170384615384616</v>
      </c>
      <c r="O261" s="91" t="str">
        <f>IFERROR(K261*T261, "--")</f>
        <v>--</v>
      </c>
      <c r="P261" s="91">
        <f>IFERROR(L261*U261, "--")</f>
        <v>2564.102564102564</v>
      </c>
      <c r="Q261" s="91">
        <f>IFERROR(M261*V261, "--")</f>
        <v>379.06468531468533</v>
      </c>
      <c r="R261" s="91">
        <f>IFERROR(N261*W261, "--")</f>
        <v>405.85192307692307</v>
      </c>
      <c r="T261" s="92">
        <v>10</v>
      </c>
      <c r="U261" s="93">
        <v>10</v>
      </c>
      <c r="V261" s="93">
        <v>50</v>
      </c>
      <c r="W261" s="94">
        <v>50</v>
      </c>
    </row>
    <row r="262" spans="2:29" ht="15" thickBot="1" x14ac:dyDescent="0.4">
      <c r="B262" s="82" t="s">
        <v>203</v>
      </c>
      <c r="C262" s="83" t="s">
        <v>80</v>
      </c>
      <c r="D262" s="83" t="s">
        <v>107</v>
      </c>
      <c r="E262" s="98"/>
      <c r="F262" s="98"/>
      <c r="G262" s="99"/>
      <c r="H262" s="101"/>
      <c r="I262" s="101"/>
      <c r="J262" s="113"/>
      <c r="K262" s="103"/>
      <c r="L262" s="103"/>
      <c r="M262" s="103"/>
      <c r="N262" s="104"/>
      <c r="O262" s="105" t="str">
        <f>CONCATENATE("(APF ",T261,")")</f>
        <v>(APF 10)</v>
      </c>
      <c r="P262" s="105" t="str">
        <f>CONCATENATE("(APF ",U261,")")</f>
        <v>(APF 10)</v>
      </c>
      <c r="Q262" s="105" t="str">
        <f>CONCATENATE("(APF ",V261,")")</f>
        <v>(APF 50)</v>
      </c>
      <c r="R262" s="105" t="str">
        <f>CONCATENATE("(APF ",W261,")")</f>
        <v>(APF 50)</v>
      </c>
      <c r="T262" s="106" t="s">
        <v>111</v>
      </c>
      <c r="U262" s="107" t="s">
        <v>111</v>
      </c>
      <c r="V262" s="107" t="s">
        <v>111</v>
      </c>
      <c r="W262" s="108" t="s">
        <v>111</v>
      </c>
    </row>
    <row r="263" spans="2:29" ht="15.75" customHeight="1" thickBot="1" x14ac:dyDescent="0.4">
      <c r="B263" s="82" t="s">
        <v>203</v>
      </c>
      <c r="C263" s="83" t="s">
        <v>80</v>
      </c>
      <c r="D263" s="83" t="s">
        <v>107</v>
      </c>
      <c r="E263" s="98"/>
      <c r="F263" s="98"/>
      <c r="G263" s="99"/>
      <c r="H263" s="101"/>
      <c r="I263" s="101"/>
      <c r="J263" s="86" t="s">
        <v>112</v>
      </c>
      <c r="K263" s="88" t="str">
        <f>IFERROR(VLOOKUP($D263,$Y$9:$AB$10,2,FALSE)/IF($D263="Inhalation",IF($J263="Central Tendency",SUMIFS('Inhalation Exposure_Short-Term'!$F$7:$F$397,'Inhalation Exposure_Short-Term'!$B$7:$B$397,$B263,'Inhalation Exposure_Short-Term'!$D$7:$D$397,$C263),SUMIFS('Inhalation Exposure_Short-Term'!$G$7:$G$397,'Inhalation Exposure_Short-Term'!$B$7:$B$397,$B263,'Inhalation Exposure_Short-Term'!$D$7:$D$397,$C263)),IF($J263="Central Tendency",VLOOKUP($B263,'Dermal Exposure'!$A$6:$L$19,9,FALSE),VLOOKUP($B263,'Dermal Exposure'!$A$6:$L$19,4,FALSE))),"--")</f>
        <v>--</v>
      </c>
      <c r="L263" s="88">
        <f>IFERROR(VLOOKUP($D263,$Y$9:$AB$10,2,FALSE)/IF($D263="Inhalation",IF($J263="Central Tendency",SUMIFS('Inhalation Exposure_8-hr'!$H$6:$H$411,'Inhalation Exposure_8-hr'!$B$6:$B$411,$B263,'Inhalation Exposure_8-hr'!$D$6:$D$411,$C263),SUMIFS('Inhalation Exposure_8-hr'!$I$6:$I$411,'Inhalation Exposure_8-hr'!$B$6:$B$411,$B263,'Inhalation Exposure_8-hr'!$D$6:$D$411,$C263)),IF($J263="Central Tendency",VLOOKUP($B263,'Dermal Exposure'!$A$6:$L$19,9,FALSE),VLOOKUP($B263,'Dermal Exposure'!$A$6:$L$19,4,FALSE))),"--")</f>
        <v>256.41025641025641</v>
      </c>
      <c r="M263" s="88">
        <f>IFERROR(VLOOKUP($D263,$Y$9:$AB$10,3,FALSE)/IF($D263="Inhalation",IF($J263="Central Tendency",SUMIFS('Inhalation Exposure_8-hr'!$L$6:$L$411,'Inhalation Exposure_8-hr'!$B$6:$B$411,$B263,'Inhalation Exposure_8-hr'!$D$6:$D$411,$C263),SUMIFS('Inhalation Exposure_8-hr'!$M$6:$M$411,'Inhalation Exposure_8-hr'!$B$6:$B$411,$B263,'Inhalation Exposure_8-hr'!$D$6:$D$411,$C263)),IF($J263="Central Tendency",VLOOKUP($B263,'Dermal Exposure'!$A$6:$L$19,10,FALSE),VLOOKUP($B263,'Dermal Exposure'!$A$6:$L$19,5,FALSE))),"--")</f>
        <v>7.5812937062937067</v>
      </c>
      <c r="N263" s="89">
        <f>IFERROR(VLOOKUP($D263,$Y$9:$AB$10,4,FALSE)/IF($D263="Inhalation",IF($J263="Central Tendency",SUMIFS('Inhalation Exposure_8-hr'!$N$6:$N$411,'Inhalation Exposure_8-hr'!$B$6:$B$411,$B263,'Inhalation Exposure_8-hr'!$D$6:$D$411,$C263),SUMIFS('Inhalation Exposure_8-hr'!$O$6:$O$411,'Inhalation Exposure_8-hr'!$B$6:$B$411,$B263,'Inhalation Exposure_8-hr'!$D$6:$D$411,$C263)),IF($J263="Central Tendency",VLOOKUP($B263,'Dermal Exposure'!$A$6:$L$19,11,FALSE),VLOOKUP($B263,'Dermal Exposure'!$A$6:$L$19,6,FALSE))),"--")</f>
        <v>8.1170384615384616</v>
      </c>
      <c r="O263" s="91" t="str">
        <f>IFERROR(K263*T263, "--")</f>
        <v>--</v>
      </c>
      <c r="P263" s="91">
        <f>IFERROR(L263*U263, "--")</f>
        <v>2564.102564102564</v>
      </c>
      <c r="Q263" s="91">
        <f>IFERROR(M263*V263, "--")</f>
        <v>75.812937062937067</v>
      </c>
      <c r="R263" s="91">
        <f>IFERROR(N263*W263, "--")</f>
        <v>81.17038461538462</v>
      </c>
      <c r="T263" s="109">
        <v>10</v>
      </c>
      <c r="U263" s="110">
        <v>10</v>
      </c>
      <c r="V263" s="110">
        <v>10</v>
      </c>
      <c r="W263" s="111">
        <v>10</v>
      </c>
    </row>
    <row r="264" spans="2:29" ht="15" thickBot="1" x14ac:dyDescent="0.4">
      <c r="B264" s="82" t="s">
        <v>203</v>
      </c>
      <c r="C264" s="83" t="s">
        <v>80</v>
      </c>
      <c r="D264" s="83" t="s">
        <v>107</v>
      </c>
      <c r="E264" s="98"/>
      <c r="F264" s="98"/>
      <c r="G264" s="112"/>
      <c r="H264" s="113"/>
      <c r="I264" s="113"/>
      <c r="J264" s="113"/>
      <c r="K264" s="103"/>
      <c r="L264" s="103"/>
      <c r="M264" s="103"/>
      <c r="N264" s="104"/>
      <c r="O264" s="105" t="str">
        <f>CONCATENATE("(APF ",T263,")")</f>
        <v>(APF 10)</v>
      </c>
      <c r="P264" s="105" t="str">
        <f>CONCATENATE("(APF ",U263,")")</f>
        <v>(APF 10)</v>
      </c>
      <c r="Q264" s="105" t="str">
        <f>CONCATENATE("(APF ",V263,")")</f>
        <v>(APF 10)</v>
      </c>
      <c r="R264" s="105" t="str">
        <f>CONCATENATE("(APF ",W263,")")</f>
        <v>(APF 10)</v>
      </c>
      <c r="T264" s="114" t="s">
        <v>111</v>
      </c>
      <c r="U264" s="115" t="s">
        <v>111</v>
      </c>
      <c r="V264" s="115" t="s">
        <v>111</v>
      </c>
      <c r="W264" s="116" t="s">
        <v>111</v>
      </c>
    </row>
    <row r="265" spans="2:29" ht="16.5" customHeight="1" thickBot="1" x14ac:dyDescent="0.4">
      <c r="B265" s="82">
        <v>10</v>
      </c>
      <c r="C265" s="83" t="s">
        <v>68</v>
      </c>
      <c r="D265" s="83" t="s">
        <v>58</v>
      </c>
      <c r="E265" s="98"/>
      <c r="F265" s="98"/>
      <c r="G265" s="85" t="s">
        <v>182</v>
      </c>
      <c r="H265" s="86" t="s">
        <v>68</v>
      </c>
      <c r="I265" s="101" t="s">
        <v>58</v>
      </c>
      <c r="J265" s="86" t="s">
        <v>71</v>
      </c>
      <c r="K265" s="88" t="s">
        <v>86</v>
      </c>
      <c r="L265" s="88" t="s">
        <v>86</v>
      </c>
      <c r="M265" s="88">
        <f>IFERROR(VLOOKUP($D265,$Y$9:$AB$10,3,FALSE)/IF($D265="Inhalation",IF($J265="Central Tendency",SUMIFS('Inhalation Exposure_8-hr'!$L$6:$L$411,'Inhalation Exposure_8-hr'!$B$6:$B$411,$B265,'Inhalation Exposure_8-hr'!$D$6:$D$411,$C265),SUMIFS('Inhalation Exposure_8-hr'!$M$6:$M$411,'Inhalation Exposure_8-hr'!$B$6:$B$411,$B265,'Inhalation Exposure_8-hr'!$D$6:$D$411,$C265)),IF($J265="Central Tendency",VLOOKUP($B265,'Dermal Exposure'!$A$6:$L$19,5,FALSE),VLOOKUP($B265,'Dermal Exposure'!$A$6:$L$19,10,FALSE))),"--")</f>
        <v>3923.919833286609</v>
      </c>
      <c r="N265" s="89">
        <f>IFERROR(VLOOKUP($D265,$Y$9:$AB$10,4,FALSE)/IF($D265="Inhalation",IF($J265="Central Tendency",SUMIFS('Inhalation Exposure_8-hr'!$N$6:$N$411,'Inhalation Exposure_8-hr'!$B$6:$B$411,$B265,'Inhalation Exposure_8-hr'!$D$6:$D$411,$C265),SUMIFS('Inhalation Exposure_8-hr'!$O$6:$O$411,'Inhalation Exposure_8-hr'!$B$6:$B$411,$B265,'Inhalation Exposure_8-hr'!$D$6:$D$411,$C265)),IF($J265="Central Tendency",VLOOKUP($B265,'Dermal Exposure'!$A$6:$L$19,6,FALSE),VLOOKUP($B265,'Dermal Exposure'!$A$6:$L$19,11,FALSE))),"--")</f>
        <v>4201.2101681721961</v>
      </c>
      <c r="O265" s="91" t="str">
        <f>IFERROR(K265*T265, "--")</f>
        <v>--</v>
      </c>
      <c r="P265" s="91" t="str">
        <f>IFERROR(L265*U265, "--")</f>
        <v>--</v>
      </c>
      <c r="Q265" s="91">
        <f>IFERROR(M265*V265, "--")</f>
        <v>19619.599166433043</v>
      </c>
      <c r="R265" s="91">
        <f>IFERROR(N265*W265, "--")</f>
        <v>21006.050840860982</v>
      </c>
      <c r="T265" s="92">
        <v>5</v>
      </c>
      <c r="U265" s="93">
        <v>5</v>
      </c>
      <c r="V265" s="93">
        <v>5</v>
      </c>
      <c r="W265" s="94">
        <v>5</v>
      </c>
    </row>
    <row r="266" spans="2:29" ht="15" thickBot="1" x14ac:dyDescent="0.4">
      <c r="B266" s="82">
        <v>10</v>
      </c>
      <c r="C266" s="83" t="s">
        <v>68</v>
      </c>
      <c r="D266" s="83" t="s">
        <v>58</v>
      </c>
      <c r="E266" s="98"/>
      <c r="F266" s="98"/>
      <c r="G266" s="99"/>
      <c r="H266" s="100"/>
      <c r="I266" s="101"/>
      <c r="J266" s="113"/>
      <c r="K266" s="103"/>
      <c r="L266" s="103"/>
      <c r="M266" s="103"/>
      <c r="N266" s="104"/>
      <c r="O266" s="105" t="str">
        <f>CONCATENATE("(PF ",T265,")")</f>
        <v>(PF 5)</v>
      </c>
      <c r="P266" s="105" t="str">
        <f>CONCATENATE("(PF ",U265,")")</f>
        <v>(PF 5)</v>
      </c>
      <c r="Q266" s="105" t="str">
        <f>CONCATENATE("(PF ",V265,")")</f>
        <v>(PF 5)</v>
      </c>
      <c r="R266" s="105" t="str">
        <f>CONCATENATE("(PF ",W265,")")</f>
        <v>(PF 5)</v>
      </c>
      <c r="T266" s="106" t="s">
        <v>118</v>
      </c>
      <c r="U266" s="107" t="s">
        <v>118</v>
      </c>
      <c r="V266" s="107" t="s">
        <v>118</v>
      </c>
      <c r="W266" s="108" t="s">
        <v>118</v>
      </c>
    </row>
    <row r="267" spans="2:29" ht="15" customHeight="1" thickBot="1" x14ac:dyDescent="0.4">
      <c r="B267" s="82">
        <v>10</v>
      </c>
      <c r="C267" s="83" t="s">
        <v>68</v>
      </c>
      <c r="D267" s="83" t="s">
        <v>58</v>
      </c>
      <c r="E267" s="98"/>
      <c r="F267" s="98"/>
      <c r="G267" s="99"/>
      <c r="H267" s="100"/>
      <c r="I267" s="101"/>
      <c r="J267" s="86" t="s">
        <v>112</v>
      </c>
      <c r="K267" s="88" t="s">
        <v>86</v>
      </c>
      <c r="L267" s="88" t="s">
        <v>86</v>
      </c>
      <c r="M267" s="88">
        <f>IFERROR(VLOOKUP($D267,$Y$9:$AB$10,3,FALSE)/IF($D267="Inhalation",IF($J267="Central Tendency",SUMIFS('Inhalation Exposure_8-hr'!$L$6:$L$411,'Inhalation Exposure_8-hr'!$B$6:$B$411,$B267,'Inhalation Exposure_8-hr'!$D$6:$D$411,$C267),SUMIFS('Inhalation Exposure_8-hr'!$M$6:$M$411,'Inhalation Exposure_8-hr'!$B$6:$B$411,$B267,'Inhalation Exposure_8-hr'!$D$6:$D$411,$C267)),IF($J267="Central Tendency",VLOOKUP($B267,'Dermal Exposure'!$A$6:$L$19,5,FALSE),VLOOKUP($B267,'Dermal Exposure'!$A$6:$L$19,10,FALSE))),"--")</f>
        <v>267.21152828655198</v>
      </c>
      <c r="N267" s="89">
        <f>IFERROR(VLOOKUP($D267,$Y$9:$AB$10,4,FALSE)/IF($D267="Inhalation",IF($J267="Central Tendency",SUMIFS('Inhalation Exposure_8-hr'!$N$6:$N$411,'Inhalation Exposure_8-hr'!$B$6:$B$411,$B267,'Inhalation Exposure_8-hr'!$D$6:$D$411,$C267),SUMIFS('Inhalation Exposure_8-hr'!$O$6:$O$411,'Inhalation Exposure_8-hr'!$B$6:$B$411,$B267,'Inhalation Exposure_8-hr'!$D$6:$D$411,$C267)),IF($J267="Central Tendency",VLOOKUP($B267,'Dermal Exposure'!$A$6:$L$19,6,FALSE),VLOOKUP($B267,'Dermal Exposure'!$A$6:$L$19,11,FALSE))),"--")</f>
        <v>286.09447628546837</v>
      </c>
      <c r="O267" s="91" t="str">
        <f>IFERROR(K267*T267, "--")</f>
        <v>--</v>
      </c>
      <c r="P267" s="91" t="str">
        <f>IFERROR(L267*U267, "--")</f>
        <v>--</v>
      </c>
      <c r="Q267" s="91">
        <f>IFERROR(M267*V267, "--")</f>
        <v>1336.05764143276</v>
      </c>
      <c r="R267" s="91">
        <f>IFERROR(N267*W267, "--")</f>
        <v>1430.4723814273418</v>
      </c>
      <c r="T267" s="109">
        <v>5</v>
      </c>
      <c r="U267" s="110">
        <v>5</v>
      </c>
      <c r="V267" s="110">
        <v>5</v>
      </c>
      <c r="W267" s="111">
        <v>5</v>
      </c>
    </row>
    <row r="268" spans="2:29" ht="15" thickBot="1" x14ac:dyDescent="0.4">
      <c r="B268" s="82">
        <v>10</v>
      </c>
      <c r="C268" s="83" t="s">
        <v>68</v>
      </c>
      <c r="D268" s="83" t="s">
        <v>58</v>
      </c>
      <c r="E268" s="98"/>
      <c r="F268" s="98"/>
      <c r="G268" s="112"/>
      <c r="H268" s="100"/>
      <c r="I268" s="113"/>
      <c r="J268" s="113"/>
      <c r="K268" s="103"/>
      <c r="L268" s="103"/>
      <c r="M268" s="103"/>
      <c r="N268" s="104"/>
      <c r="O268" s="105" t="str">
        <f>CONCATENATE("(PF ",T267,")")</f>
        <v>(PF 5)</v>
      </c>
      <c r="P268" s="105" t="str">
        <f>CONCATENATE("(PF ",U267,")")</f>
        <v>(PF 5)</v>
      </c>
      <c r="Q268" s="105" t="str">
        <f>CONCATENATE("(PF ",V267,")")</f>
        <v>(PF 5)</v>
      </c>
      <c r="R268" s="105" t="str">
        <f>CONCATENATE("(PF ",W267,")")</f>
        <v>(PF 5)</v>
      </c>
      <c r="T268" s="114" t="s">
        <v>118</v>
      </c>
      <c r="U268" s="115" t="s">
        <v>118</v>
      </c>
      <c r="V268" s="115" t="s">
        <v>118</v>
      </c>
      <c r="W268" s="116" t="s">
        <v>118</v>
      </c>
    </row>
    <row r="269" spans="2:29" ht="15.75" customHeight="1" thickBot="1" x14ac:dyDescent="0.4">
      <c r="B269" s="82" t="s">
        <v>205</v>
      </c>
      <c r="C269" s="83" t="s">
        <v>68</v>
      </c>
      <c r="D269" s="83" t="s">
        <v>107</v>
      </c>
      <c r="E269" s="84" t="s">
        <v>173</v>
      </c>
      <c r="F269" s="84" t="s">
        <v>174</v>
      </c>
      <c r="G269" s="85" t="s">
        <v>175</v>
      </c>
      <c r="H269" s="86" t="s">
        <v>68</v>
      </c>
      <c r="I269" s="86" t="s">
        <v>110</v>
      </c>
      <c r="J269" s="87" t="s">
        <v>71</v>
      </c>
      <c r="K269" s="88">
        <f>IFERROR(VLOOKUP($D269,$Y$9:$AB$10,2,FALSE)/IF($D269="Inhalation",IF($J269="Central Tendency",SUMIFS('Inhalation Exposure_Short-Term'!$F$7:$F$397,'Inhalation Exposure_Short-Term'!$B$7:$B$397,$B269,'Inhalation Exposure_Short-Term'!$D$7:$D$397,$C269),SUMIFS('Inhalation Exposure_Short-Term'!$G$7:$G$397,'Inhalation Exposure_Short-Term'!$B$7:$B$397,$B269,'Inhalation Exposure_Short-Term'!$D$7:$D$397,$C269)),IF($J269="Central Tendency",VLOOKUP($B269,'Dermal Exposure'!$A$6:$L$19,9,FALSE),VLOOKUP($B269,'Dermal Exposure'!$A$6:$L$19,4,FALSE))),"--")</f>
        <v>463.1492842535788</v>
      </c>
      <c r="L269" s="88">
        <f>IFERROR(VLOOKUP($D269,$Y$9:$AB$10,2,FALSE)/IF($D269="Inhalation",IF($J269="Central Tendency",SUMIFS('Inhalation Exposure_8-hr'!$H$6:$H$411,'Inhalation Exposure_8-hr'!$B$6:$B$411,$B269,'Inhalation Exposure_8-hr'!$D$6:$D$411,$C269),SUMIFS('Inhalation Exposure_8-hr'!$I$6:$I$411,'Inhalation Exposure_8-hr'!$B$6:$B$411,$B269,'Inhalation Exposure_8-hr'!$D$6:$D$411,$C269)),IF($J269="Central Tendency",VLOOKUP($B269,'Dermal Exposure'!$A$6:$L$19,9,FALSE),VLOOKUP($B269,'Dermal Exposure'!$A$6:$L$19,4,FALSE))),"--")</f>
        <v>47.789068937105192</v>
      </c>
      <c r="M269" s="88">
        <f>IFERROR(VLOOKUP($D269,$Y$9:$AB$10,3,FALSE)/IF($D269="Inhalation",IF($J269="Central Tendency",SUMIFS('Inhalation Exposure_8-hr'!$L$6:$L$411,'Inhalation Exposure_8-hr'!$B$6:$B$411,$B269,'Inhalation Exposure_8-hr'!$D$6:$D$411,$C269),SUMIFS('Inhalation Exposure_8-hr'!$M$6:$M$411,'Inhalation Exposure_8-hr'!$B$6:$B$411,$B269,'Inhalation Exposure_8-hr'!$D$6:$D$411,$C269)),IF($J269="Central Tendency",VLOOKUP($B269,'Dermal Exposure'!$A$6:$L$19,10,FALSE),VLOOKUP($B269,'Dermal Exposure'!$A$6:$L$19,5,FALSE))),"--")</f>
        <v>1.4129815734937954</v>
      </c>
      <c r="N269" s="89">
        <f>IFERROR(VLOOKUP($D269,$Y$9:$AB$10,4,FALSE)/IF($D269="Inhalation",IF($J269="Central Tendency",SUMIFS('Inhalation Exposure_8-hr'!$N$6:$N$411,'Inhalation Exposure_8-hr'!$B$6:$B$411,$B269,'Inhalation Exposure_8-hr'!$D$6:$D$411,$C269),SUMIFS('Inhalation Exposure_8-hr'!$O$6:$O$411,'Inhalation Exposure_8-hr'!$B$6:$B$411,$B269,'Inhalation Exposure_8-hr'!$D$6:$D$411,$C269)),IF($J269="Central Tendency",VLOOKUP($B269,'Dermal Exposure'!$A$6:$L$19,11,FALSE),VLOOKUP($B269,'Dermal Exposure'!$A$6:$L$19,6,FALSE))),"--")</f>
        <v>1.5128322713540234</v>
      </c>
      <c r="O269" s="91">
        <f>IFERROR(K269*T269, "--")</f>
        <v>4631.4928425357884</v>
      </c>
      <c r="P269" s="91">
        <f>IFERROR(L269*U269, "--")</f>
        <v>477.89068937105191</v>
      </c>
      <c r="Q269" s="91">
        <f>IFERROR(M269*V269, "--")</f>
        <v>70.649078674689775</v>
      </c>
      <c r="R269" s="91">
        <f>IFERROR(N269*W269, "--")</f>
        <v>75.641613567701171</v>
      </c>
      <c r="T269" s="92">
        <v>10</v>
      </c>
      <c r="U269" s="93">
        <v>10</v>
      </c>
      <c r="V269" s="93">
        <v>50</v>
      </c>
      <c r="W269" s="94">
        <v>50</v>
      </c>
    </row>
    <row r="270" spans="2:29" ht="15" thickBot="1" x14ac:dyDescent="0.4">
      <c r="B270" s="82" t="s">
        <v>205</v>
      </c>
      <c r="C270" s="83" t="s">
        <v>68</v>
      </c>
      <c r="D270" s="83" t="s">
        <v>107</v>
      </c>
      <c r="E270" s="98"/>
      <c r="F270" s="98"/>
      <c r="G270" s="99"/>
      <c r="H270" s="100"/>
      <c r="I270" s="101"/>
      <c r="J270" s="102"/>
      <c r="K270" s="103"/>
      <c r="L270" s="103"/>
      <c r="M270" s="103"/>
      <c r="N270" s="104"/>
      <c r="O270" s="105" t="str">
        <f>CONCATENATE("(APF ",T269,")")</f>
        <v>(APF 10)</v>
      </c>
      <c r="P270" s="105" t="str">
        <f>CONCATENATE("(APF ",U269,")")</f>
        <v>(APF 10)</v>
      </c>
      <c r="Q270" s="105" t="str">
        <f>CONCATENATE("(APF ",V269,")")</f>
        <v>(APF 50)</v>
      </c>
      <c r="R270" s="105" t="str">
        <f>CONCATENATE("(APF ",W269,")")</f>
        <v>(APF 50)</v>
      </c>
      <c r="T270" s="106" t="s">
        <v>111</v>
      </c>
      <c r="U270" s="107" t="s">
        <v>111</v>
      </c>
      <c r="V270" s="107" t="s">
        <v>111</v>
      </c>
      <c r="W270" s="108" t="s">
        <v>111</v>
      </c>
    </row>
    <row r="271" spans="2:29" ht="15" thickBot="1" x14ac:dyDescent="0.4">
      <c r="B271" s="82" t="s">
        <v>205</v>
      </c>
      <c r="C271" s="83" t="s">
        <v>68</v>
      </c>
      <c r="D271" s="83" t="s">
        <v>107</v>
      </c>
      <c r="E271" s="98"/>
      <c r="F271" s="98"/>
      <c r="G271" s="99"/>
      <c r="H271" s="100"/>
      <c r="I271" s="101"/>
      <c r="J271" s="87" t="s">
        <v>112</v>
      </c>
      <c r="K271" s="88">
        <f>IFERROR(VLOOKUP($D271,$Y$9:$AB$10,2,FALSE)/IF($D271="Inhalation",IF($J271="Central Tendency",SUMIFS('Inhalation Exposure_Short-Term'!$F$7:$F$397,'Inhalation Exposure_Short-Term'!$B$7:$B$397,$B271,'Inhalation Exposure_Short-Term'!$D$7:$D$397,$C271),SUMIFS('Inhalation Exposure_Short-Term'!$G$7:$G$397,'Inhalation Exposure_Short-Term'!$B$7:$B$397,$B271,'Inhalation Exposure_Short-Term'!$D$7:$D$397,$C271)),IF($J271="Central Tendency",VLOOKUP($B271,'Dermal Exposure'!$A$6:$L$19,9,FALSE),VLOOKUP($B271,'Dermal Exposure'!$A$6:$L$19,4,FALSE))),"--")</f>
        <v>141.6358667442137</v>
      </c>
      <c r="L271" s="88">
        <f>IFERROR(VLOOKUP($D271,$Y$9:$AB$10,2,FALSE)/IF($D271="Inhalation",IF($J271="Central Tendency",SUMIFS('Inhalation Exposure_8-hr'!$H$6:$H$411,'Inhalation Exposure_8-hr'!$B$6:$B$411,$B271,'Inhalation Exposure_8-hr'!$D$6:$D$411,$C271),SUMIFS('Inhalation Exposure_8-hr'!$I$6:$I$411,'Inhalation Exposure_8-hr'!$B$6:$B$411,$B271,'Inhalation Exposure_8-hr'!$D$6:$D$411,$C271)),IF($J271="Central Tendency",VLOOKUP($B271,'Dermal Exposure'!$A$6:$L$19,9,FALSE),VLOOKUP($B271,'Dermal Exposure'!$A$6:$L$19,4,FALSE))),"--")</f>
        <v>9.1528755368661123</v>
      </c>
      <c r="M271" s="88">
        <f>IFERROR(VLOOKUP($D271,$Y$9:$AB$10,3,FALSE)/IF($D271="Inhalation",IF($J271="Central Tendency",SUMIFS('Inhalation Exposure_8-hr'!$L$6:$L$411,'Inhalation Exposure_8-hr'!$B$6:$B$411,$B271,'Inhalation Exposure_8-hr'!$D$6:$D$411,$C271),SUMIFS('Inhalation Exposure_8-hr'!$M$6:$M$411,'Inhalation Exposure_8-hr'!$B$6:$B$411,$B271,'Inhalation Exposure_8-hr'!$D$6:$D$411,$C271)),IF($J271="Central Tendency",VLOOKUP($B271,'Dermal Exposure'!$A$6:$L$19,10,FALSE),VLOOKUP($B271,'Dermal Exposure'!$A$6:$L$19,5,FALSE))),"--")</f>
        <v>0.27062348703831746</v>
      </c>
      <c r="N271" s="89">
        <f>IFERROR(VLOOKUP($D271,$Y$9:$AB$10,4,FALSE)/IF($D271="Inhalation",IF($J271="Central Tendency",SUMIFS('Inhalation Exposure_8-hr'!$N$6:$N$411,'Inhalation Exposure_8-hr'!$B$6:$B$411,$B271,'Inhalation Exposure_8-hr'!$D$6:$D$411,$C271),SUMIFS('Inhalation Exposure_8-hr'!$O$6:$O$411,'Inhalation Exposure_8-hr'!$B$6:$B$411,$B271,'Inhalation Exposure_8-hr'!$D$6:$D$411,$C271)),IF($J271="Central Tendency",VLOOKUP($B271,'Dermal Exposure'!$A$6:$L$19,11,FALSE),VLOOKUP($B271,'Dermal Exposure'!$A$6:$L$19,6,FALSE))),"--")</f>
        <v>0.2897475467890252</v>
      </c>
      <c r="O271" s="91">
        <f>IFERROR(K271*T271, "--")</f>
        <v>1416.3586674421369</v>
      </c>
      <c r="P271" s="91">
        <f>IFERROR(L271*U271, "--")</f>
        <v>91.528755368661123</v>
      </c>
      <c r="Q271" s="91">
        <f>IFERROR(M271*V271, "--")</f>
        <v>13.531174351915872</v>
      </c>
      <c r="R271" s="91">
        <f>IFERROR(N271*W271, "--")</f>
        <v>14.48737733945126</v>
      </c>
      <c r="T271" s="109">
        <v>10</v>
      </c>
      <c r="U271" s="110">
        <v>10</v>
      </c>
      <c r="V271" s="110">
        <v>50</v>
      </c>
      <c r="W271" s="111">
        <v>50</v>
      </c>
      <c r="AC271" s="119"/>
    </row>
    <row r="272" spans="2:29" ht="15" thickBot="1" x14ac:dyDescent="0.4">
      <c r="B272" s="82" t="s">
        <v>205</v>
      </c>
      <c r="C272" s="83" t="s">
        <v>68</v>
      </c>
      <c r="D272" s="83" t="s">
        <v>107</v>
      </c>
      <c r="E272" s="98"/>
      <c r="F272" s="98"/>
      <c r="G272" s="99"/>
      <c r="H272" s="100"/>
      <c r="I272" s="113"/>
      <c r="J272" s="102"/>
      <c r="K272" s="103"/>
      <c r="L272" s="103"/>
      <c r="M272" s="103"/>
      <c r="N272" s="104"/>
      <c r="O272" s="105" t="str">
        <f>CONCATENATE("(APF ",T271,")")</f>
        <v>(APF 10)</v>
      </c>
      <c r="P272" s="105" t="str">
        <f>CONCATENATE("(APF ",U271,")")</f>
        <v>(APF 10)</v>
      </c>
      <c r="Q272" s="105" t="str">
        <f>CONCATENATE("(APF ",V271,")")</f>
        <v>(APF 50)</v>
      </c>
      <c r="R272" s="105" t="str">
        <f>CONCATENATE("(APF ",W271,")")</f>
        <v>(APF 50)</v>
      </c>
      <c r="T272" s="114" t="s">
        <v>111</v>
      </c>
      <c r="U272" s="115" t="s">
        <v>111</v>
      </c>
      <c r="V272" s="115" t="s">
        <v>111</v>
      </c>
      <c r="W272" s="116" t="s">
        <v>111</v>
      </c>
    </row>
    <row r="273" spans="2:23" ht="15" customHeight="1" thickBot="1" x14ac:dyDescent="0.4">
      <c r="B273" s="82" t="s">
        <v>208</v>
      </c>
      <c r="C273" s="83" t="s">
        <v>80</v>
      </c>
      <c r="D273" s="83" t="s">
        <v>107</v>
      </c>
      <c r="E273" s="98"/>
      <c r="F273" s="98"/>
      <c r="G273" s="99"/>
      <c r="H273" s="86" t="s">
        <v>80</v>
      </c>
      <c r="I273" s="86" t="s">
        <v>110</v>
      </c>
      <c r="J273" s="120" t="s">
        <v>71</v>
      </c>
      <c r="K273" s="88" t="str">
        <f>IFERROR(VLOOKUP($D273,$Y$9:$AB$10,2,FALSE)/IF($D273="Inhalation",IF($J273="Central Tendency",SUMIFS('Inhalation Exposure_Short-Term'!$F$7:$F$397,'Inhalation Exposure_Short-Term'!$B$7:$B$397,$B273,'Inhalation Exposure_Short-Term'!$D$7:$D$397,$C273),SUMIFS('Inhalation Exposure_Short-Term'!$G$7:$G$397,'Inhalation Exposure_Short-Term'!$B$7:$B$397,$B273,'Inhalation Exposure_Short-Term'!$D$7:$D$397,$C273)),IF($J273="Central Tendency",VLOOKUP($B273,'Dermal Exposure'!$A$6:$L$19,9,FALSE),VLOOKUP($B273,'Dermal Exposure'!$A$6:$L$19,4,FALSE))),"--")</f>
        <v>--</v>
      </c>
      <c r="L273" s="88">
        <f>IFERROR(VLOOKUP($D273,$Y$9:$AB$10,2,FALSE)/IF($D273="Inhalation",IF($J273="Central Tendency",SUMIFS('Inhalation Exposure_8-hr'!$H$6:$H$411,'Inhalation Exposure_8-hr'!$B$6:$B$411,$B273,'Inhalation Exposure_8-hr'!$D$6:$D$411,$C273),SUMIFS('Inhalation Exposure_8-hr'!$I$6:$I$411,'Inhalation Exposure_8-hr'!$B$6:$B$411,$B273,'Inhalation Exposure_8-hr'!$D$6:$D$411,$C273)),IF($J273="Central Tendency",VLOOKUP($B273,'Dermal Exposure'!$A$6:$L$19,9,FALSE),VLOOKUP($B273,'Dermal Exposure'!$A$6:$L$19,4,FALSE))),"--")</f>
        <v>47.789068937105192</v>
      </c>
      <c r="M273" s="88">
        <f>IFERROR(VLOOKUP($D273,$Y$9:$AB$10,3,FALSE)/IF($D273="Inhalation",IF($J273="Central Tendency",SUMIFS('Inhalation Exposure_8-hr'!$L$6:$L$411,'Inhalation Exposure_8-hr'!$B$6:$B$411,$B273,'Inhalation Exposure_8-hr'!$D$6:$D$411,$C273),SUMIFS('Inhalation Exposure_8-hr'!$M$6:$M$411,'Inhalation Exposure_8-hr'!$B$6:$B$411,$B273,'Inhalation Exposure_8-hr'!$D$6:$D$411,$C273)),IF($J273="Central Tendency",VLOOKUP($B273,'Dermal Exposure'!$A$6:$L$19,10,FALSE),VLOOKUP($B273,'Dermal Exposure'!$A$6:$L$19,5,FALSE))),"--")</f>
        <v>1.4129815734937954</v>
      </c>
      <c r="N273" s="89">
        <f>IFERROR(VLOOKUP($D273,$Y$9:$AB$10,4,FALSE)/IF($D273="Inhalation",IF($J273="Central Tendency",SUMIFS('Inhalation Exposure_8-hr'!$N$6:$N$411,'Inhalation Exposure_8-hr'!$B$6:$B$411,$B273,'Inhalation Exposure_8-hr'!$D$6:$D$411,$C273),SUMIFS('Inhalation Exposure_8-hr'!$O$6:$O$411,'Inhalation Exposure_8-hr'!$B$6:$B$411,$B273,'Inhalation Exposure_8-hr'!$D$6:$D$411,$C273)),IF($J273="Central Tendency",VLOOKUP($B273,'Dermal Exposure'!$A$6:$L$19,11,FALSE),VLOOKUP($B273,'Dermal Exposure'!$A$6:$L$19,6,FALSE))),"--")</f>
        <v>1.5128322713540234</v>
      </c>
      <c r="O273" s="91" t="str">
        <f>IFERROR(K273*T273, "--")</f>
        <v>--</v>
      </c>
      <c r="P273" s="91">
        <f>IFERROR(L273*U273, "--")</f>
        <v>477.89068937105191</v>
      </c>
      <c r="Q273" s="91">
        <f>IFERROR(M273*V273, "--")</f>
        <v>70.649078674689775</v>
      </c>
      <c r="R273" s="91">
        <f>IFERROR(N273*W273, "--")</f>
        <v>75.641613567701171</v>
      </c>
      <c r="T273" s="92">
        <v>10</v>
      </c>
      <c r="U273" s="93">
        <v>10</v>
      </c>
      <c r="V273" s="93">
        <v>50</v>
      </c>
      <c r="W273" s="94">
        <v>50</v>
      </c>
    </row>
    <row r="274" spans="2:23" ht="15" thickBot="1" x14ac:dyDescent="0.4">
      <c r="B274" s="82" t="s">
        <v>208</v>
      </c>
      <c r="C274" s="83" t="s">
        <v>80</v>
      </c>
      <c r="D274" s="83" t="s">
        <v>107</v>
      </c>
      <c r="E274" s="98"/>
      <c r="F274" s="98"/>
      <c r="G274" s="99"/>
      <c r="H274" s="101"/>
      <c r="I274" s="101"/>
      <c r="J274" s="102"/>
      <c r="K274" s="103"/>
      <c r="L274" s="103"/>
      <c r="M274" s="103"/>
      <c r="N274" s="104"/>
      <c r="O274" s="105" t="str">
        <f>CONCATENATE("(APF ",T273,")")</f>
        <v>(APF 10)</v>
      </c>
      <c r="P274" s="105" t="str">
        <f>CONCATENATE("(APF ",U273,")")</f>
        <v>(APF 10)</v>
      </c>
      <c r="Q274" s="105" t="str">
        <f>CONCATENATE("(APF ",V273,")")</f>
        <v>(APF 50)</v>
      </c>
      <c r="R274" s="105" t="str">
        <f>CONCATENATE("(APF ",W273,")")</f>
        <v>(APF 50)</v>
      </c>
      <c r="T274" s="106" t="s">
        <v>111</v>
      </c>
      <c r="U274" s="107" t="s">
        <v>111</v>
      </c>
      <c r="V274" s="107" t="s">
        <v>111</v>
      </c>
      <c r="W274" s="108" t="s">
        <v>111</v>
      </c>
    </row>
    <row r="275" spans="2:23" ht="15" thickBot="1" x14ac:dyDescent="0.4">
      <c r="B275" s="82" t="s">
        <v>208</v>
      </c>
      <c r="C275" s="83" t="s">
        <v>80</v>
      </c>
      <c r="D275" s="83" t="s">
        <v>107</v>
      </c>
      <c r="E275" s="98"/>
      <c r="F275" s="98"/>
      <c r="G275" s="99"/>
      <c r="H275" s="101"/>
      <c r="I275" s="101"/>
      <c r="J275" s="86" t="s">
        <v>112</v>
      </c>
      <c r="K275" s="88" t="str">
        <f>IFERROR(VLOOKUP($D275,$Y$9:$AB$10,2,FALSE)/IF($D275="Inhalation",IF($J275="Central Tendency",SUMIFS('Inhalation Exposure_Short-Term'!$F$7:$F$397,'Inhalation Exposure_Short-Term'!$B$7:$B$397,$B275,'Inhalation Exposure_Short-Term'!$D$7:$D$397,$C275),SUMIFS('Inhalation Exposure_Short-Term'!$G$7:$G$397,'Inhalation Exposure_Short-Term'!$B$7:$B$397,$B275,'Inhalation Exposure_Short-Term'!$D$7:$D$397,$C275)),IF($J275="Central Tendency",VLOOKUP($B275,'Dermal Exposure'!$A$6:$L$19,9,FALSE),VLOOKUP($B275,'Dermal Exposure'!$A$6:$L$19,4,FALSE))),"--")</f>
        <v>--</v>
      </c>
      <c r="L275" s="88">
        <f>IFERROR(VLOOKUP($D275,$Y$9:$AB$10,2,FALSE)/IF($D275="Inhalation",IF($J275="Central Tendency",SUMIFS('Inhalation Exposure_8-hr'!$H$6:$H$411,'Inhalation Exposure_8-hr'!$B$6:$B$411,$B275,'Inhalation Exposure_8-hr'!$D$6:$D$411,$C275),SUMIFS('Inhalation Exposure_8-hr'!$I$6:$I$411,'Inhalation Exposure_8-hr'!$B$6:$B$411,$B275,'Inhalation Exposure_8-hr'!$D$6:$D$411,$C275)),IF($J275="Central Tendency",VLOOKUP($B275,'Dermal Exposure'!$A$6:$L$19,9,FALSE),VLOOKUP($B275,'Dermal Exposure'!$A$6:$L$19,4,FALSE))),"--")</f>
        <v>47.789068937105192</v>
      </c>
      <c r="M275" s="88">
        <f>IFERROR(VLOOKUP($D275,$Y$9:$AB$10,3,FALSE)/IF($D275="Inhalation",IF($J275="Central Tendency",SUMIFS('Inhalation Exposure_8-hr'!$L$6:$L$411,'Inhalation Exposure_8-hr'!$B$6:$B$411,$B275,'Inhalation Exposure_8-hr'!$D$6:$D$411,$C275),SUMIFS('Inhalation Exposure_8-hr'!$M$6:$M$411,'Inhalation Exposure_8-hr'!$B$6:$B$411,$B275,'Inhalation Exposure_8-hr'!$D$6:$D$411,$C275)),IF($J275="Central Tendency",VLOOKUP($B275,'Dermal Exposure'!$A$6:$L$19,10,FALSE),VLOOKUP($B275,'Dermal Exposure'!$A$6:$L$19,5,FALSE))),"--")</f>
        <v>1.4129815734937954</v>
      </c>
      <c r="N275" s="89">
        <f>IFERROR(VLOOKUP($D275,$Y$9:$AB$10,4,FALSE)/IF($D275="Inhalation",IF($J275="Central Tendency",SUMIFS('Inhalation Exposure_8-hr'!$N$6:$N$411,'Inhalation Exposure_8-hr'!$B$6:$B$411,$B275,'Inhalation Exposure_8-hr'!$D$6:$D$411,$C275),SUMIFS('Inhalation Exposure_8-hr'!$O$6:$O$411,'Inhalation Exposure_8-hr'!$B$6:$B$411,$B275,'Inhalation Exposure_8-hr'!$D$6:$D$411,$C275)),IF($J275="Central Tendency",VLOOKUP($B275,'Dermal Exposure'!$A$6:$L$19,11,FALSE),VLOOKUP($B275,'Dermal Exposure'!$A$6:$L$19,6,FALSE))),"--")</f>
        <v>1.5128322713540234</v>
      </c>
      <c r="O275" s="91" t="str">
        <f>IFERROR(K275*T275, "--")</f>
        <v>--</v>
      </c>
      <c r="P275" s="91">
        <f>IFERROR(L275*U275, "--")</f>
        <v>477.89068937105191</v>
      </c>
      <c r="Q275" s="91">
        <f>IFERROR(M275*V275, "--")</f>
        <v>70.649078674689775</v>
      </c>
      <c r="R275" s="91">
        <f>IFERROR(N275*W275, "--")</f>
        <v>75.641613567701171</v>
      </c>
      <c r="T275" s="109">
        <v>10</v>
      </c>
      <c r="U275" s="110">
        <v>10</v>
      </c>
      <c r="V275" s="110">
        <v>50</v>
      </c>
      <c r="W275" s="111">
        <v>50</v>
      </c>
    </row>
    <row r="276" spans="2:23" ht="15" thickBot="1" x14ac:dyDescent="0.4">
      <c r="B276" s="82" t="s">
        <v>208</v>
      </c>
      <c r="C276" s="83" t="s">
        <v>80</v>
      </c>
      <c r="D276" s="83" t="s">
        <v>107</v>
      </c>
      <c r="E276" s="98"/>
      <c r="F276" s="98"/>
      <c r="G276" s="99"/>
      <c r="H276" s="113"/>
      <c r="I276" s="113"/>
      <c r="J276" s="113"/>
      <c r="K276" s="103"/>
      <c r="L276" s="103"/>
      <c r="M276" s="103"/>
      <c r="N276" s="104"/>
      <c r="O276" s="105" t="str">
        <f>CONCATENATE("(APF ",T275,")")</f>
        <v>(APF 10)</v>
      </c>
      <c r="P276" s="105" t="str">
        <f>CONCATENATE("(APF ",U275,")")</f>
        <v>(APF 10)</v>
      </c>
      <c r="Q276" s="105" t="str">
        <f>CONCATENATE("(APF ",V275,")")</f>
        <v>(APF 50)</v>
      </c>
      <c r="R276" s="105" t="str">
        <f>CONCATENATE("(APF ",W275,")")</f>
        <v>(APF 50)</v>
      </c>
      <c r="T276" s="114" t="s">
        <v>111</v>
      </c>
      <c r="U276" s="115" t="s">
        <v>111</v>
      </c>
      <c r="V276" s="115" t="s">
        <v>111</v>
      </c>
      <c r="W276" s="116" t="s">
        <v>111</v>
      </c>
    </row>
    <row r="277" spans="2:23" ht="15" customHeight="1" thickBot="1" x14ac:dyDescent="0.4">
      <c r="B277" s="82">
        <v>11</v>
      </c>
      <c r="C277" s="83" t="s">
        <v>68</v>
      </c>
      <c r="D277" s="83" t="s">
        <v>58</v>
      </c>
      <c r="E277" s="98"/>
      <c r="F277" s="98"/>
      <c r="G277" s="99"/>
      <c r="H277" s="86" t="s">
        <v>68</v>
      </c>
      <c r="I277" s="101" t="s">
        <v>58</v>
      </c>
      <c r="J277" s="120" t="s">
        <v>71</v>
      </c>
      <c r="K277" s="88" t="s">
        <v>86</v>
      </c>
      <c r="L277" s="88" t="s">
        <v>86</v>
      </c>
      <c r="M277" s="88">
        <f>IFERROR(VLOOKUP($D277,$Y$9:$AB$10,3,FALSE)/IF($D277="Inhalation",IF($J277="Central Tendency",SUMIFS('Inhalation Exposure_8-hr'!$L$6:$L$411,'Inhalation Exposure_8-hr'!$B$6:$B$411,$B277,'Inhalation Exposure_8-hr'!$D$6:$D$411,$C277),SUMIFS('Inhalation Exposure_8-hr'!$M$6:$M$411,'Inhalation Exposure_8-hr'!$B$6:$B$411,$B277,'Inhalation Exposure_8-hr'!$D$6:$D$411,$C277)),IF($J277="Central Tendency",VLOOKUP($B277,'Dermal Exposure'!$A$6:$L$19,5,FALSE),VLOOKUP($B277,'Dermal Exposure'!$A$6:$L$19,10,FALSE))),"--")</f>
        <v>11396.975098305149</v>
      </c>
      <c r="N277" s="89">
        <f>IFERROR(VLOOKUP($D277,$Y$9:$AB$10,4,FALSE)/IF($D277="Inhalation",IF($J277="Central Tendency",SUMIFS('Inhalation Exposure_8-hr'!$N$6:$N$411,'Inhalation Exposure_8-hr'!$B$6:$B$411,$B277,'Inhalation Exposure_8-hr'!$D$6:$D$411,$C277),SUMIFS('Inhalation Exposure_8-hr'!$O$6:$O$411,'Inhalation Exposure_8-hr'!$B$6:$B$411,$B277,'Inhalation Exposure_8-hr'!$D$6:$D$411,$C277)),IF($J277="Central Tendency",VLOOKUP($B277,'Dermal Exposure'!$A$6:$L$19,6,FALSE),VLOOKUP($B277,'Dermal Exposure'!$A$6:$L$19,11,FALSE))),"--")</f>
        <v>12202.361338585381</v>
      </c>
      <c r="O277" s="91" t="str">
        <f>IFERROR(K277*T277, "--")</f>
        <v>--</v>
      </c>
      <c r="P277" s="91" t="str">
        <f>IFERROR(L277*U277, "--")</f>
        <v>--</v>
      </c>
      <c r="Q277" s="91">
        <f>IFERROR(M277*V277, "--")</f>
        <v>56984.875491525745</v>
      </c>
      <c r="R277" s="91">
        <f>IFERROR(N277*W277, "--")</f>
        <v>61011.806692926904</v>
      </c>
      <c r="T277" s="92">
        <v>5</v>
      </c>
      <c r="U277" s="93">
        <v>5</v>
      </c>
      <c r="V277" s="93">
        <v>5</v>
      </c>
      <c r="W277" s="94">
        <v>5</v>
      </c>
    </row>
    <row r="278" spans="2:23" ht="15" thickBot="1" x14ac:dyDescent="0.4">
      <c r="B278" s="82">
        <v>11</v>
      </c>
      <c r="C278" s="83" t="s">
        <v>68</v>
      </c>
      <c r="D278" s="83" t="s">
        <v>58</v>
      </c>
      <c r="E278" s="98"/>
      <c r="F278" s="98"/>
      <c r="G278" s="99"/>
      <c r="H278" s="100"/>
      <c r="I278" s="101"/>
      <c r="J278" s="102"/>
      <c r="K278" s="103"/>
      <c r="L278" s="103"/>
      <c r="M278" s="103"/>
      <c r="N278" s="104"/>
      <c r="O278" s="105" t="str">
        <f>CONCATENATE("(APF ",T277,")")</f>
        <v>(APF 5)</v>
      </c>
      <c r="P278" s="105" t="str">
        <f>CONCATENATE("(APF ",U277,")")</f>
        <v>(APF 5)</v>
      </c>
      <c r="Q278" s="105" t="str">
        <f>CONCATENATE("(APF ",V277,")")</f>
        <v>(APF 5)</v>
      </c>
      <c r="R278" s="105" t="str">
        <f>CONCATENATE("(APF ",W277,")")</f>
        <v>(APF 5)</v>
      </c>
      <c r="T278" s="106" t="s">
        <v>118</v>
      </c>
      <c r="U278" s="107" t="s">
        <v>118</v>
      </c>
      <c r="V278" s="107" t="s">
        <v>118</v>
      </c>
      <c r="W278" s="108" t="s">
        <v>118</v>
      </c>
    </row>
    <row r="279" spans="2:23" ht="15" thickBot="1" x14ac:dyDescent="0.4">
      <c r="B279" s="82">
        <v>11</v>
      </c>
      <c r="C279" s="83" t="s">
        <v>68</v>
      </c>
      <c r="D279" s="83" t="s">
        <v>58</v>
      </c>
      <c r="E279" s="98"/>
      <c r="F279" s="98"/>
      <c r="G279" s="99"/>
      <c r="H279" s="100"/>
      <c r="I279" s="101"/>
      <c r="J279" s="87" t="s">
        <v>112</v>
      </c>
      <c r="K279" s="88" t="s">
        <v>86</v>
      </c>
      <c r="L279" s="88" t="s">
        <v>86</v>
      </c>
      <c r="M279" s="88">
        <f>IFERROR(VLOOKUP($D279,$Y$9:$AB$10,3,FALSE)/IF($D279="Inhalation",IF($J279="Central Tendency",SUMIFS('Inhalation Exposure_8-hr'!$L$6:$L$411,'Inhalation Exposure_8-hr'!$B$6:$B$411,$B279,'Inhalation Exposure_8-hr'!$D$6:$D$411,$C279),SUMIFS('Inhalation Exposure_8-hr'!$M$6:$M$411,'Inhalation Exposure_8-hr'!$B$6:$B$411,$B279,'Inhalation Exposure_8-hr'!$D$6:$D$411,$C279)),IF($J279="Central Tendency",VLOOKUP($B279,'Dermal Exposure'!$A$6:$L$19,5,FALSE),VLOOKUP($B279,'Dermal Exposure'!$A$6:$L$19,10,FALSE))),"--")</f>
        <v>3465.1461652065541</v>
      </c>
      <c r="N279" s="89">
        <f>IFERROR(VLOOKUP($D279,$Y$9:$AB$10,4,FALSE)/IF($D279="Inhalation",IF($J279="Central Tendency",SUMIFS('Inhalation Exposure_8-hr'!$N$6:$N$411,'Inhalation Exposure_8-hr'!$B$6:$B$411,$B279,'Inhalation Exposure_8-hr'!$D$6:$D$411,$C279),SUMIFS('Inhalation Exposure_8-hr'!$O$6:$O$411,'Inhalation Exposure_8-hr'!$B$6:$B$411,$B279,'Inhalation Exposure_8-hr'!$D$6:$D$411,$C279)),IF($J279="Central Tendency",VLOOKUP($B279,'Dermal Exposure'!$A$6:$L$19,6,FALSE),VLOOKUP($B279,'Dermal Exposure'!$A$6:$L$19,11,FALSE))),"--")</f>
        <v>3710.0164942144843</v>
      </c>
      <c r="O279" s="91" t="str">
        <f>IFERROR(K279*T279, "--")</f>
        <v>--</v>
      </c>
      <c r="P279" s="91" t="str">
        <f>IFERROR(L279*U279, "--")</f>
        <v>--</v>
      </c>
      <c r="Q279" s="91">
        <f>IFERROR(M279*V279, "--")</f>
        <v>17325.73082603277</v>
      </c>
      <c r="R279" s="91">
        <f>IFERROR(N279*W279, "--")</f>
        <v>18550.082471072423</v>
      </c>
      <c r="T279" s="109">
        <v>5</v>
      </c>
      <c r="U279" s="110">
        <v>5</v>
      </c>
      <c r="V279" s="110">
        <v>5</v>
      </c>
      <c r="W279" s="111">
        <v>5</v>
      </c>
    </row>
    <row r="280" spans="2:23" ht="15" thickBot="1" x14ac:dyDescent="0.4">
      <c r="B280" s="82">
        <v>11</v>
      </c>
      <c r="C280" s="83" t="s">
        <v>68</v>
      </c>
      <c r="D280" s="83" t="s">
        <v>58</v>
      </c>
      <c r="E280" s="98"/>
      <c r="F280" s="98"/>
      <c r="G280" s="99"/>
      <c r="H280" s="100"/>
      <c r="I280" s="113"/>
      <c r="J280" s="102"/>
      <c r="K280" s="103"/>
      <c r="L280" s="103"/>
      <c r="M280" s="103"/>
      <c r="N280" s="104"/>
      <c r="O280" s="105" t="str">
        <f>CONCATENATE("(APF ",T279,")")</f>
        <v>(APF 5)</v>
      </c>
      <c r="P280" s="105" t="str">
        <f>CONCATENATE("(APF ",U279,")")</f>
        <v>(APF 5)</v>
      </c>
      <c r="Q280" s="105" t="str">
        <f>CONCATENATE("(APF ",V279,")")</f>
        <v>(APF 5)</v>
      </c>
      <c r="R280" s="105" t="str">
        <f>CONCATENATE("(APF ",W279,")")</f>
        <v>(APF 5)</v>
      </c>
      <c r="T280" s="114" t="s">
        <v>118</v>
      </c>
      <c r="U280" s="115" t="s">
        <v>118</v>
      </c>
      <c r="V280" s="115" t="s">
        <v>118</v>
      </c>
      <c r="W280" s="116" t="s">
        <v>118</v>
      </c>
    </row>
    <row r="281" spans="2:23" ht="15.75" customHeight="1" thickBot="1" x14ac:dyDescent="0.4">
      <c r="B281" s="82" t="s">
        <v>527</v>
      </c>
      <c r="C281" s="83" t="s">
        <v>68</v>
      </c>
      <c r="D281" s="83" t="s">
        <v>107</v>
      </c>
      <c r="E281" s="84" t="s">
        <v>214</v>
      </c>
      <c r="F281" s="84" t="s">
        <v>215</v>
      </c>
      <c r="G281" s="85" t="s">
        <v>216</v>
      </c>
      <c r="H281" s="86" t="s">
        <v>68</v>
      </c>
      <c r="I281" s="86" t="s">
        <v>110</v>
      </c>
      <c r="J281" s="86" t="s">
        <v>71</v>
      </c>
      <c r="K281" s="88" t="str">
        <f>IFERROR(VLOOKUP($D281,$Y$9:$AB$10,2,FALSE)/IF($D281="Inhalation",IF($J281="Central Tendency",SUMIFS('Inhalation Exposure_Short-Term'!$F$7:$F$397,'Inhalation Exposure_Short-Term'!$B$7:$B$397,$B281,'Inhalation Exposure_Short-Term'!$D$7:$D$397,$C281),SUMIFS('Inhalation Exposure_Short-Term'!$G$7:$G$397,'Inhalation Exposure_Short-Term'!$B$7:$B$397,$B281,'Inhalation Exposure_Short-Term'!$D$7:$D$397,$C281)),IF($J281="Central Tendency",VLOOKUP($B281,'Dermal Exposure'!$A$6:$L$19,9,FALSE),VLOOKUP($B281,'Dermal Exposure'!$A$6:$L$19,4,FALSE))),"--")</f>
        <v>--</v>
      </c>
      <c r="L281" s="88">
        <f>IFERROR(VLOOKUP($D281,$Y$9:$AB$10,2,FALSE)/IF($D281="Inhalation",IF($J281="Central Tendency",SUMIFS('Inhalation Exposure_8-hr'!$H$6:$H$411,'Inhalation Exposure_8-hr'!$B$6:$B$411,$B281,'Inhalation Exposure_8-hr'!$D$6:$D$411,$C281),SUMIFS('Inhalation Exposure_8-hr'!$I$6:$I$411,'Inhalation Exposure_8-hr'!$B$6:$B$411,$B281,'Inhalation Exposure_8-hr'!$D$6:$D$411,$C281)),IF($J281="Central Tendency",VLOOKUP($B281,'Dermal Exposure'!$A$6:$L$19,9,FALSE),VLOOKUP($B281,'Dermal Exposure'!$A$6:$L$19,4,FALSE))),"--")</f>
        <v>159522.53853460378</v>
      </c>
      <c r="M281" s="88">
        <f>IFERROR(VLOOKUP($D281,$Y$9:$AB$10,3,FALSE)/IF($D281="Inhalation",IF($J281="Central Tendency",SUMIFS('Inhalation Exposure_8-hr'!$L$6:$L$411,'Inhalation Exposure_8-hr'!$B$6:$B$411,$B281,'Inhalation Exposure_8-hr'!$D$6:$D$411,$C281),SUMIFS('Inhalation Exposure_8-hr'!$M$6:$M$411,'Inhalation Exposure_8-hr'!$B$6:$B$411,$B281,'Inhalation Exposure_8-hr'!$D$6:$D$411,$C281)),IF($J281="Central Tendency",VLOOKUP($B281,'Dermal Exposure'!$A$6:$L$19,10,FALSE),VLOOKUP($B281,'Dermal Exposure'!$A$6:$L$19,5,FALSE))),"--")</f>
        <v>4716.6101478771079</v>
      </c>
      <c r="N281" s="89">
        <f>IFERROR(VLOOKUP($D281,$Y$9:$AB$10,4,FALSE)/IF($D281="Inhalation",IF($J281="Central Tendency",SUMIFS('Inhalation Exposure_8-hr'!$N$6:$N$411,'Inhalation Exposure_8-hr'!$B$6:$B$411,$B281,'Inhalation Exposure_8-hr'!$D$6:$D$411,$C281),SUMIFS('Inhalation Exposure_8-hr'!$O$6:$O$411,'Inhalation Exposure_8-hr'!$B$6:$B$411,$B281,'Inhalation Exposure_8-hr'!$D$6:$D$411,$C281)),IF($J281="Central Tendency",VLOOKUP($B281,'Dermal Exposure'!$A$6:$L$19,11,FALSE),VLOOKUP($B281,'Dermal Exposure'!$A$6:$L$19,6,FALSE))),"--")</f>
        <v>7559.756384721195</v>
      </c>
      <c r="O281" s="91" t="str">
        <f>IFERROR(K281*T281, "--")</f>
        <v>--</v>
      </c>
      <c r="P281" s="91">
        <f>IFERROR(L281*U281, "--")</f>
        <v>1595225.3853460378</v>
      </c>
      <c r="Q281" s="91">
        <f>IFERROR(M281*V281, "--")</f>
        <v>47166.101478771081</v>
      </c>
      <c r="R281" s="91">
        <f>IFERROR(N281*W281, "--")</f>
        <v>75597.563847211946</v>
      </c>
      <c r="T281" s="92">
        <v>10</v>
      </c>
      <c r="U281" s="93">
        <v>10</v>
      </c>
      <c r="V281" s="93">
        <v>10</v>
      </c>
      <c r="W281" s="94">
        <v>10</v>
      </c>
    </row>
    <row r="282" spans="2:23" ht="15" thickBot="1" x14ac:dyDescent="0.4">
      <c r="B282" s="82" t="s">
        <v>527</v>
      </c>
      <c r="C282" s="83" t="s">
        <v>68</v>
      </c>
      <c r="D282" s="83" t="s">
        <v>107</v>
      </c>
      <c r="E282" s="98"/>
      <c r="F282" s="98"/>
      <c r="G282" s="99"/>
      <c r="H282" s="100"/>
      <c r="I282" s="101"/>
      <c r="J282" s="113"/>
      <c r="K282" s="103"/>
      <c r="L282" s="103"/>
      <c r="M282" s="103"/>
      <c r="N282" s="104"/>
      <c r="O282" s="105" t="str">
        <f>CONCATENATE("(APF ",T281,")")</f>
        <v>(APF 10)</v>
      </c>
      <c r="P282" s="105" t="str">
        <f>CONCATENATE("(APF ",U281,")")</f>
        <v>(APF 10)</v>
      </c>
      <c r="Q282" s="105" t="str">
        <f>CONCATENATE("(APF ",V281,")")</f>
        <v>(APF 10)</v>
      </c>
      <c r="R282" s="105" t="str">
        <f>CONCATENATE("(APF ",W281,")")</f>
        <v>(APF 10)</v>
      </c>
      <c r="T282" s="106" t="s">
        <v>111</v>
      </c>
      <c r="U282" s="107" t="s">
        <v>111</v>
      </c>
      <c r="V282" s="107" t="s">
        <v>111</v>
      </c>
      <c r="W282" s="108" t="s">
        <v>111</v>
      </c>
    </row>
    <row r="283" spans="2:23" ht="15" thickBot="1" x14ac:dyDescent="0.4">
      <c r="B283" s="82" t="s">
        <v>527</v>
      </c>
      <c r="C283" s="83" t="s">
        <v>68</v>
      </c>
      <c r="D283" s="83" t="s">
        <v>107</v>
      </c>
      <c r="E283" s="98"/>
      <c r="F283" s="98"/>
      <c r="G283" s="99"/>
      <c r="H283" s="100"/>
      <c r="I283" s="101"/>
      <c r="J283" s="86" t="s">
        <v>112</v>
      </c>
      <c r="K283" s="88" t="str">
        <f>IFERROR(VLOOKUP($D283,$Y$9:$AB$10,2,FALSE)/IF($D283="Inhalation",IF($J283="Central Tendency",SUMIFS('Inhalation Exposure_Short-Term'!$F$7:$F$397,'Inhalation Exposure_Short-Term'!$B$7:$B$397,$B283,'Inhalation Exposure_Short-Term'!$D$7:$D$397,$C283),SUMIFS('Inhalation Exposure_Short-Term'!$G$7:$G$397,'Inhalation Exposure_Short-Term'!$B$7:$B$397,$B283,'Inhalation Exposure_Short-Term'!$D$7:$D$397,$C283)),IF($J283="Central Tendency",VLOOKUP($B283,'Dermal Exposure'!$A$6:$L$19,9,FALSE),VLOOKUP($B283,'Dermal Exposure'!$A$6:$L$19,4,FALSE))),"--")</f>
        <v>--</v>
      </c>
      <c r="L283" s="88">
        <f>IFERROR(VLOOKUP($D283,$Y$9:$AB$10,2,FALSE)/IF($D283="Inhalation",IF($J283="Central Tendency",SUMIFS('Inhalation Exposure_8-hr'!$H$6:$H$411,'Inhalation Exposure_8-hr'!$B$6:$B$411,$B283,'Inhalation Exposure_8-hr'!$D$6:$D$411,$C283),SUMIFS('Inhalation Exposure_8-hr'!$I$6:$I$411,'Inhalation Exposure_8-hr'!$B$6:$B$411,$B283,'Inhalation Exposure_8-hr'!$D$6:$D$411,$C283)),IF($J283="Central Tendency",VLOOKUP($B283,'Dermal Exposure'!$A$6:$L$19,9,FALSE),VLOOKUP($B283,'Dermal Exposure'!$A$6:$L$19,4,FALSE))),"--")</f>
        <v>155075.45325153373</v>
      </c>
      <c r="M283" s="88">
        <f>IFERROR(VLOOKUP($D283,$Y$9:$AB$10,3,FALSE)/IF($D283="Inhalation",IF($J283="Central Tendency",SUMIFS('Inhalation Exposure_8-hr'!$L$6:$L$411,'Inhalation Exposure_8-hr'!$B$6:$B$411,$B283,'Inhalation Exposure_8-hr'!$D$6:$D$411,$C283),SUMIFS('Inhalation Exposure_8-hr'!$M$6:$M$411,'Inhalation Exposure_8-hr'!$B$6:$B$411,$B283,'Inhalation Exposure_8-hr'!$D$6:$D$411,$C283)),IF($J283="Central Tendency",VLOOKUP($B283,'Dermal Exposure'!$A$6:$L$19,10,FALSE),VLOOKUP($B283,'Dermal Exposure'!$A$6:$L$19,5,FALSE))),"--")</f>
        <v>4585.1229751723358</v>
      </c>
      <c r="N283" s="89">
        <f>IFERROR(VLOOKUP($D283,$Y$9:$AB$10,4,FALSE)/IF($D283="Inhalation",IF($J283="Central Tendency",SUMIFS('Inhalation Exposure_8-hr'!$N$6:$N$411,'Inhalation Exposure_8-hr'!$B$6:$B$411,$B283,'Inhalation Exposure_8-hr'!$D$6:$D$411,$C283),SUMIFS('Inhalation Exposure_8-hr'!$O$6:$O$411,'Inhalation Exposure_8-hr'!$B$6:$B$411,$B283,'Inhalation Exposure_8-hr'!$D$6:$D$411,$C283)),IF($J283="Central Tendency",VLOOKUP($B283,'Dermal Exposure'!$A$6:$L$19,11,FALSE),VLOOKUP($B283,'Dermal Exposure'!$A$6:$L$19,6,FALSE))),"--")</f>
        <v>4909.1383320845143</v>
      </c>
      <c r="O283" s="91" t="str">
        <f>IFERROR(K283*T283, "--")</f>
        <v>--</v>
      </c>
      <c r="P283" s="91">
        <f>IFERROR(L283*U283, "--")</f>
        <v>1550754.5325153372</v>
      </c>
      <c r="Q283" s="91">
        <f>IFERROR(M283*V283, "--")</f>
        <v>45851.22975172336</v>
      </c>
      <c r="R283" s="91">
        <f>IFERROR(N283*W283, "--")</f>
        <v>49091.38332084514</v>
      </c>
      <c r="T283" s="109">
        <v>10</v>
      </c>
      <c r="U283" s="110">
        <v>10</v>
      </c>
      <c r="V283" s="110">
        <v>10</v>
      </c>
      <c r="W283" s="111">
        <v>10</v>
      </c>
    </row>
    <row r="284" spans="2:23" ht="15" thickBot="1" x14ac:dyDescent="0.4">
      <c r="B284" s="82" t="s">
        <v>527</v>
      </c>
      <c r="C284" s="83" t="s">
        <v>68</v>
      </c>
      <c r="D284" s="83" t="s">
        <v>107</v>
      </c>
      <c r="E284" s="98"/>
      <c r="F284" s="98"/>
      <c r="G284" s="99"/>
      <c r="H284" s="100"/>
      <c r="I284" s="113"/>
      <c r="J284" s="113"/>
      <c r="K284" s="103"/>
      <c r="L284" s="103"/>
      <c r="M284" s="103"/>
      <c r="N284" s="104"/>
      <c r="O284" s="105" t="str">
        <f>CONCATENATE("(APF ",T283,")")</f>
        <v>(APF 10)</v>
      </c>
      <c r="P284" s="105" t="str">
        <f>CONCATENATE("(APF ",U283,")")</f>
        <v>(APF 10)</v>
      </c>
      <c r="Q284" s="105" t="str">
        <f>CONCATENATE("(APF ",V283,")")</f>
        <v>(APF 10)</v>
      </c>
      <c r="R284" s="105" t="str">
        <f>CONCATENATE("(APF ",W283,")")</f>
        <v>(APF 10)</v>
      </c>
      <c r="T284" s="114" t="s">
        <v>111</v>
      </c>
      <c r="U284" s="115" t="s">
        <v>111</v>
      </c>
      <c r="V284" s="115" t="s">
        <v>111</v>
      </c>
      <c r="W284" s="116" t="s">
        <v>111</v>
      </c>
    </row>
    <row r="285" spans="2:23" ht="15.75" customHeight="1" thickBot="1" x14ac:dyDescent="0.4">
      <c r="B285" s="82" t="s">
        <v>528</v>
      </c>
      <c r="C285" s="83" t="s">
        <v>80</v>
      </c>
      <c r="D285" s="83" t="s">
        <v>107</v>
      </c>
      <c r="E285" s="98"/>
      <c r="F285" s="98"/>
      <c r="G285" s="99"/>
      <c r="H285" s="86" t="s">
        <v>80</v>
      </c>
      <c r="I285" s="86" t="s">
        <v>110</v>
      </c>
      <c r="J285" s="86" t="s">
        <v>71</v>
      </c>
      <c r="K285" s="88" t="str">
        <f>IFERROR(VLOOKUP($D285,$Y$9:$AB$10,2,FALSE)/IF($D285="Inhalation",IF($J285="Central Tendency",SUMIFS('Inhalation Exposure_Short-Term'!$F$7:$F$397,'Inhalation Exposure_Short-Term'!$B$7:$B$397,$B285,'Inhalation Exposure_Short-Term'!$D$7:$D$397,$C285),SUMIFS('Inhalation Exposure_Short-Term'!$G$7:$G$397,'Inhalation Exposure_Short-Term'!$B$7:$B$397,$B285,'Inhalation Exposure_Short-Term'!$D$7:$D$397,$C285)),IF($J285="Central Tendency",VLOOKUP($B285,'Dermal Exposure'!$A$6:$L$19,9,FALSE),VLOOKUP($B285,'Dermal Exposure'!$A$6:$L$19,4,FALSE))),"--")</f>
        <v>--</v>
      </c>
      <c r="L285" s="88">
        <f>IFERROR(VLOOKUP($D285,$Y$9:$AB$10,2,FALSE)/IF($D285="Inhalation",IF($J285="Central Tendency",SUMIFS('Inhalation Exposure_8-hr'!$H$6:$H$411,'Inhalation Exposure_8-hr'!$B$6:$B$411,$B285,'Inhalation Exposure_8-hr'!$D$6:$D$411,$C285),SUMIFS('Inhalation Exposure_8-hr'!$I$6:$I$411,'Inhalation Exposure_8-hr'!$B$6:$B$411,$B285,'Inhalation Exposure_8-hr'!$D$6:$D$411,$C285)),IF($J285="Central Tendency",VLOOKUP($B285,'Dermal Exposure'!$A$6:$L$19,9,FALSE),VLOOKUP($B285,'Dermal Exposure'!$A$6:$L$19,4,FALSE))),"--")</f>
        <v>159522.53853460378</v>
      </c>
      <c r="M285" s="88">
        <f>IFERROR(VLOOKUP($D285,$Y$9:$AB$10,3,FALSE)/IF($D285="Inhalation",IF($J285="Central Tendency",SUMIFS('Inhalation Exposure_8-hr'!$L$6:$L$411,'Inhalation Exposure_8-hr'!$B$6:$B$411,$B285,'Inhalation Exposure_8-hr'!$D$6:$D$411,$C285),SUMIFS('Inhalation Exposure_8-hr'!$M$6:$M$411,'Inhalation Exposure_8-hr'!$B$6:$B$411,$B285,'Inhalation Exposure_8-hr'!$D$6:$D$411,$C285)),IF($J285="Central Tendency",VLOOKUP($B285,'Dermal Exposure'!$A$6:$L$19,10,FALSE),VLOOKUP($B285,'Dermal Exposure'!$A$6:$L$19,5,FALSE))),"--")</f>
        <v>4716.6101478771079</v>
      </c>
      <c r="N285" s="89">
        <f>IFERROR(VLOOKUP($D285,$Y$9:$AB$10,4,FALSE)/IF($D285="Inhalation",IF($J285="Central Tendency",SUMIFS('Inhalation Exposure_8-hr'!$N$6:$N$411,'Inhalation Exposure_8-hr'!$B$6:$B$411,$B285,'Inhalation Exposure_8-hr'!$D$6:$D$411,$C285),SUMIFS('Inhalation Exposure_8-hr'!$O$6:$O$411,'Inhalation Exposure_8-hr'!$B$6:$B$411,$B285,'Inhalation Exposure_8-hr'!$D$6:$D$411,$C285)),IF($J285="Central Tendency",VLOOKUP($B285,'Dermal Exposure'!$A$6:$L$19,11,FALSE),VLOOKUP($B285,'Dermal Exposure'!$A$6:$L$19,6,FALSE))),"--")</f>
        <v>7559.756384721195</v>
      </c>
      <c r="O285" s="91" t="str">
        <f>IFERROR(K285*T285, "--")</f>
        <v>--</v>
      </c>
      <c r="P285" s="91">
        <f>IFERROR(L285*U285, "--")</f>
        <v>1595225.3853460378</v>
      </c>
      <c r="Q285" s="91">
        <f>IFERROR(M285*V285, "--")</f>
        <v>47166.101478771081</v>
      </c>
      <c r="R285" s="91">
        <f>IFERROR(N285*W285, "--")</f>
        <v>75597.563847211946</v>
      </c>
      <c r="T285" s="92">
        <v>10</v>
      </c>
      <c r="U285" s="93">
        <v>10</v>
      </c>
      <c r="V285" s="93">
        <v>10</v>
      </c>
      <c r="W285" s="94">
        <v>10</v>
      </c>
    </row>
    <row r="286" spans="2:23" ht="15" thickBot="1" x14ac:dyDescent="0.4">
      <c r="B286" s="82" t="s">
        <v>528</v>
      </c>
      <c r="C286" s="83" t="s">
        <v>80</v>
      </c>
      <c r="D286" s="83" t="s">
        <v>107</v>
      </c>
      <c r="E286" s="98"/>
      <c r="F286" s="98"/>
      <c r="G286" s="99"/>
      <c r="H286" s="101"/>
      <c r="I286" s="101"/>
      <c r="J286" s="113"/>
      <c r="K286" s="103"/>
      <c r="L286" s="103"/>
      <c r="M286" s="103"/>
      <c r="N286" s="104"/>
      <c r="O286" s="105" t="str">
        <f>CONCATENATE("(APF ",T285,")")</f>
        <v>(APF 10)</v>
      </c>
      <c r="P286" s="105" t="str">
        <f>CONCATENATE("(APF ",U285,")")</f>
        <v>(APF 10)</v>
      </c>
      <c r="Q286" s="105" t="str">
        <f>CONCATENATE("(APF ",V285,")")</f>
        <v>(APF 10)</v>
      </c>
      <c r="R286" s="105" t="str">
        <f>CONCATENATE("(APF ",W285,")")</f>
        <v>(APF 10)</v>
      </c>
      <c r="T286" s="106" t="s">
        <v>111</v>
      </c>
      <c r="U286" s="107" t="s">
        <v>111</v>
      </c>
      <c r="V286" s="107" t="s">
        <v>111</v>
      </c>
      <c r="W286" s="108" t="s">
        <v>111</v>
      </c>
    </row>
    <row r="287" spans="2:23" ht="15" thickBot="1" x14ac:dyDescent="0.4">
      <c r="B287" s="82" t="s">
        <v>528</v>
      </c>
      <c r="C287" s="83" t="s">
        <v>80</v>
      </c>
      <c r="D287" s="83" t="s">
        <v>107</v>
      </c>
      <c r="E287" s="98"/>
      <c r="F287" s="98"/>
      <c r="G287" s="99"/>
      <c r="H287" s="101"/>
      <c r="I287" s="101"/>
      <c r="J287" s="86" t="s">
        <v>112</v>
      </c>
      <c r="K287" s="88" t="str">
        <f>IFERROR(VLOOKUP($D287,$Y$9:$AB$10,2,FALSE)/IF($D287="Inhalation",IF($J287="Central Tendency",SUMIFS('Inhalation Exposure_Short-Term'!$F$7:$F$397,'Inhalation Exposure_Short-Term'!$B$7:$B$397,$B287,'Inhalation Exposure_Short-Term'!$D$7:$D$397,$C287),SUMIFS('Inhalation Exposure_Short-Term'!$G$7:$G$397,'Inhalation Exposure_Short-Term'!$B$7:$B$397,$B287,'Inhalation Exposure_Short-Term'!$D$7:$D$397,$C287)),IF($J287="Central Tendency",VLOOKUP($B287,'Dermal Exposure'!$A$6:$L$19,9,FALSE),VLOOKUP($B287,'Dermal Exposure'!$A$6:$L$19,4,FALSE))),"--")</f>
        <v>--</v>
      </c>
      <c r="L287" s="88">
        <f>IFERROR(VLOOKUP($D287,$Y$9:$AB$10,2,FALSE)/IF($D287="Inhalation",IF($J287="Central Tendency",SUMIFS('Inhalation Exposure_8-hr'!$H$6:$H$411,'Inhalation Exposure_8-hr'!$B$6:$B$411,$B287,'Inhalation Exposure_8-hr'!$D$6:$D$411,$C287),SUMIFS('Inhalation Exposure_8-hr'!$I$6:$I$411,'Inhalation Exposure_8-hr'!$B$6:$B$411,$B287,'Inhalation Exposure_8-hr'!$D$6:$D$411,$C287)),IF($J287="Central Tendency",VLOOKUP($B287,'Dermal Exposure'!$A$6:$L$19,9,FALSE),VLOOKUP($B287,'Dermal Exposure'!$A$6:$L$19,4,FALSE))),"--")</f>
        <v>159522.53853460378</v>
      </c>
      <c r="M287" s="88">
        <f>IFERROR(VLOOKUP($D287,$Y$9:$AB$10,3,FALSE)/IF($D287="Inhalation",IF($J287="Central Tendency",SUMIFS('Inhalation Exposure_8-hr'!$L$6:$L$411,'Inhalation Exposure_8-hr'!$B$6:$B$411,$B287,'Inhalation Exposure_8-hr'!$D$6:$D$411,$C287),SUMIFS('Inhalation Exposure_8-hr'!$M$6:$M$411,'Inhalation Exposure_8-hr'!$B$6:$B$411,$B287,'Inhalation Exposure_8-hr'!$D$6:$D$411,$C287)),IF($J287="Central Tendency",VLOOKUP($B287,'Dermal Exposure'!$A$6:$L$19,10,FALSE),VLOOKUP($B287,'Dermal Exposure'!$A$6:$L$19,5,FALSE))),"--")</f>
        <v>4716.6101478771079</v>
      </c>
      <c r="N287" s="89">
        <f>IFERROR(VLOOKUP($D287,$Y$9:$AB$10,4,FALSE)/IF($D287="Inhalation",IF($J287="Central Tendency",SUMIFS('Inhalation Exposure_8-hr'!$N$6:$N$411,'Inhalation Exposure_8-hr'!$B$6:$B$411,$B287,'Inhalation Exposure_8-hr'!$D$6:$D$411,$C287),SUMIFS('Inhalation Exposure_8-hr'!$O$6:$O$411,'Inhalation Exposure_8-hr'!$B$6:$B$411,$B287,'Inhalation Exposure_8-hr'!$D$6:$D$411,$C287)),IF($J287="Central Tendency",VLOOKUP($B287,'Dermal Exposure'!$A$6:$L$19,11,FALSE),VLOOKUP($B287,'Dermal Exposure'!$A$6:$L$19,6,FALSE))),"--")</f>
        <v>5049.9172649937573</v>
      </c>
      <c r="O287" s="91" t="str">
        <f>IFERROR(K287*T287, "--")</f>
        <v>--</v>
      </c>
      <c r="P287" s="91">
        <f>IFERROR(L287*U287, "--")</f>
        <v>1595225.3853460378</v>
      </c>
      <c r="Q287" s="91">
        <f>IFERROR(M287*V287, "--")</f>
        <v>47166.101478771081</v>
      </c>
      <c r="R287" s="91">
        <f>IFERROR(N287*W287, "--")</f>
        <v>50499.172649937573</v>
      </c>
      <c r="T287" s="109">
        <v>10</v>
      </c>
      <c r="U287" s="110">
        <v>10</v>
      </c>
      <c r="V287" s="110">
        <v>10</v>
      </c>
      <c r="W287" s="111">
        <v>10</v>
      </c>
    </row>
    <row r="288" spans="2:23" ht="15" thickBot="1" x14ac:dyDescent="0.4">
      <c r="B288" s="82" t="s">
        <v>528</v>
      </c>
      <c r="C288" s="83" t="s">
        <v>80</v>
      </c>
      <c r="D288" s="83" t="s">
        <v>107</v>
      </c>
      <c r="E288" s="98"/>
      <c r="F288" s="98"/>
      <c r="G288" s="99"/>
      <c r="H288" s="113"/>
      <c r="I288" s="113"/>
      <c r="J288" s="113"/>
      <c r="K288" s="103"/>
      <c r="L288" s="103"/>
      <c r="M288" s="103"/>
      <c r="N288" s="104"/>
      <c r="O288" s="105" t="str">
        <f>CONCATENATE("(APF ",T287,")")</f>
        <v>(APF 10)</v>
      </c>
      <c r="P288" s="105" t="str">
        <f>CONCATENATE("(APF ",U287,")")</f>
        <v>(APF 10)</v>
      </c>
      <c r="Q288" s="105" t="str">
        <f>CONCATENATE("(APF ",V287,")")</f>
        <v>(APF 10)</v>
      </c>
      <c r="R288" s="105" t="str">
        <f>CONCATENATE("(APF ",W287,")")</f>
        <v>(APF 10)</v>
      </c>
      <c r="T288" s="114" t="s">
        <v>111</v>
      </c>
      <c r="U288" s="115" t="s">
        <v>111</v>
      </c>
      <c r="V288" s="115" t="s">
        <v>111</v>
      </c>
      <c r="W288" s="116" t="s">
        <v>111</v>
      </c>
    </row>
    <row r="289" spans="2:23" ht="15.75" customHeight="1" thickBot="1" x14ac:dyDescent="0.4">
      <c r="B289" s="82">
        <v>12</v>
      </c>
      <c r="C289" s="83" t="s">
        <v>68</v>
      </c>
      <c r="D289" s="83" t="s">
        <v>58</v>
      </c>
      <c r="E289" s="98"/>
      <c r="F289" s="98"/>
      <c r="G289" s="99"/>
      <c r="H289" s="86" t="s">
        <v>68</v>
      </c>
      <c r="I289" s="101" t="s">
        <v>58</v>
      </c>
      <c r="J289" s="86" t="s">
        <v>71</v>
      </c>
      <c r="K289" s="88" t="s">
        <v>86</v>
      </c>
      <c r="L289" s="88" t="s">
        <v>86</v>
      </c>
      <c r="M289" s="88">
        <f>IFERROR(VLOOKUP($D289,$Y$9:$AB$10,3,FALSE)/IF($D289="Inhalation",IF($J289="Central Tendency",SUMIFS('Inhalation Exposure_8-hr'!$L$6:$L$411,'Inhalation Exposure_8-hr'!$B$6:$B$411,$B289,'Inhalation Exposure_8-hr'!$D$6:$D$411,$C289),SUMIFS('Inhalation Exposure_8-hr'!$M$6:$M$411,'Inhalation Exposure_8-hr'!$B$6:$B$411,$B289,'Inhalation Exposure_8-hr'!$D$6:$D$411,$C289)),IF($J289="Central Tendency",VLOOKUP($B289,'Dermal Exposure'!$A$6:$L$19,5,FALSE),VLOOKUP($B289,'Dermal Exposure'!$A$6:$L$19,10,FALSE))),"--")</f>
        <v>1209.6622930991639</v>
      </c>
      <c r="N289" s="89">
        <f>IFERROR(VLOOKUP($D289,$Y$9:$AB$10,4,FALSE)/IF($D289="Inhalation",IF($J289="Central Tendency",SUMIFS('Inhalation Exposure_8-hr'!$N$6:$N$411,'Inhalation Exposure_8-hr'!$B$6:$B$411,$B289,'Inhalation Exposure_8-hr'!$D$6:$D$411,$C289),SUMIFS('Inhalation Exposure_8-hr'!$O$6:$O$411,'Inhalation Exposure_8-hr'!$B$6:$B$411,$B289,'Inhalation Exposure_8-hr'!$D$6:$D$411,$C289)),IF($J289="Central Tendency",VLOOKUP($B289,'Dermal Exposure'!$A$6:$L$19,6,FALSE),VLOOKUP($B289,'Dermal Exposure'!$A$6:$L$19,11,FALSE))),"--")</f>
        <v>1605.2856447355282</v>
      </c>
      <c r="O289" s="91" t="str">
        <f>IFERROR(K289*T289, "--")</f>
        <v>--</v>
      </c>
      <c r="P289" s="91" t="str">
        <f>IFERROR(L289*U289, "--")</f>
        <v>--</v>
      </c>
      <c r="Q289" s="91">
        <f>IFERROR(M289*V289, "--")</f>
        <v>6048.311465495819</v>
      </c>
      <c r="R289" s="91">
        <f>IFERROR(N289*W289, "--")</f>
        <v>8026.4282236776407</v>
      </c>
      <c r="T289" s="92">
        <v>5</v>
      </c>
      <c r="U289" s="93">
        <v>5</v>
      </c>
      <c r="V289" s="93">
        <v>5</v>
      </c>
      <c r="W289" s="94">
        <v>5</v>
      </c>
    </row>
    <row r="290" spans="2:23" ht="15" thickBot="1" x14ac:dyDescent="0.4">
      <c r="B290" s="82">
        <v>12</v>
      </c>
      <c r="C290" s="83" t="s">
        <v>68</v>
      </c>
      <c r="D290" s="83" t="s">
        <v>58</v>
      </c>
      <c r="E290" s="98"/>
      <c r="F290" s="98"/>
      <c r="G290" s="99"/>
      <c r="H290" s="100"/>
      <c r="I290" s="101"/>
      <c r="J290" s="113"/>
      <c r="K290" s="103"/>
      <c r="L290" s="103"/>
      <c r="M290" s="103"/>
      <c r="N290" s="104"/>
      <c r="O290" s="105" t="str">
        <f>CONCATENATE("(PF ",T289,")")</f>
        <v>(PF 5)</v>
      </c>
      <c r="P290" s="105" t="str">
        <f>CONCATENATE("(PF ",U289,")")</f>
        <v>(PF 5)</v>
      </c>
      <c r="Q290" s="105" t="str">
        <f>CONCATENATE("(PF ",V289,")")</f>
        <v>(PF 5)</v>
      </c>
      <c r="R290" s="105" t="str">
        <f>CONCATENATE("(PF ",W289,")")</f>
        <v>(PF 5)</v>
      </c>
      <c r="T290" s="106" t="s">
        <v>118</v>
      </c>
      <c r="U290" s="107" t="s">
        <v>118</v>
      </c>
      <c r="V290" s="107" t="s">
        <v>118</v>
      </c>
      <c r="W290" s="108" t="s">
        <v>118</v>
      </c>
    </row>
    <row r="291" spans="2:23" ht="15" thickBot="1" x14ac:dyDescent="0.4">
      <c r="B291" s="82">
        <v>12</v>
      </c>
      <c r="C291" s="83" t="s">
        <v>68</v>
      </c>
      <c r="D291" s="83" t="s">
        <v>58</v>
      </c>
      <c r="E291" s="98"/>
      <c r="F291" s="98"/>
      <c r="G291" s="99"/>
      <c r="H291" s="100"/>
      <c r="I291" s="101"/>
      <c r="J291" s="86" t="s">
        <v>112</v>
      </c>
      <c r="K291" s="88" t="s">
        <v>86</v>
      </c>
      <c r="L291" s="88" t="s">
        <v>86</v>
      </c>
      <c r="M291" s="88">
        <f>IFERROR(VLOOKUP($D291,$Y$9:$AB$10,3,FALSE)/IF($D291="Inhalation",IF($J291="Central Tendency",SUMIFS('Inhalation Exposure_8-hr'!$L$6:$L$411,'Inhalation Exposure_8-hr'!$B$6:$B$411,$B291,'Inhalation Exposure_8-hr'!$D$6:$D$411,$C291),SUMIFS('Inhalation Exposure_8-hr'!$M$6:$M$411,'Inhalation Exposure_8-hr'!$B$6:$B$411,$B291,'Inhalation Exposure_8-hr'!$D$6:$D$411,$C291)),IF($J291="Central Tendency",VLOOKUP($B291,'Dermal Exposure'!$A$6:$L$19,5,FALSE),VLOOKUP($B291,'Dermal Exposure'!$A$6:$L$19,10,FALSE))),"--")</f>
        <v>214.76744315046506</v>
      </c>
      <c r="N291" s="89">
        <f>IFERROR(VLOOKUP($D291,$Y$9:$AB$10,4,FALSE)/IF($D291="Inhalation",IF($J291="Central Tendency",SUMIFS('Inhalation Exposure_8-hr'!$N$6:$N$411,'Inhalation Exposure_8-hr'!$B$6:$B$411,$B291,'Inhalation Exposure_8-hr'!$D$6:$D$411,$C291),SUMIFS('Inhalation Exposure_8-hr'!$O$6:$O$411,'Inhalation Exposure_8-hr'!$B$6:$B$411,$B291,'Inhalation Exposure_8-hr'!$D$6:$D$411,$C291)),IF($J291="Central Tendency",VLOOKUP($B291,'Dermal Exposure'!$A$6:$L$19,6,FALSE),VLOOKUP($B291,'Dermal Exposure'!$A$6:$L$19,11,FALSE))),"--")</f>
        <v>280.2858467132134</v>
      </c>
      <c r="O291" s="91" t="str">
        <f>IFERROR(K291*T291, "--")</f>
        <v>--</v>
      </c>
      <c r="P291" s="91" t="str">
        <f>IFERROR(L291*U291, "--")</f>
        <v>--</v>
      </c>
      <c r="Q291" s="91">
        <f>IFERROR(M291*V291, "--")</f>
        <v>1073.8372157523254</v>
      </c>
      <c r="R291" s="91">
        <f>IFERROR(N291*W291, "--")</f>
        <v>1401.4292335660671</v>
      </c>
      <c r="T291" s="109">
        <v>5</v>
      </c>
      <c r="U291" s="110">
        <v>5</v>
      </c>
      <c r="V291" s="110">
        <v>5</v>
      </c>
      <c r="W291" s="111">
        <v>5</v>
      </c>
    </row>
    <row r="292" spans="2:23" ht="15" thickBot="1" x14ac:dyDescent="0.4">
      <c r="B292" s="82">
        <v>12</v>
      </c>
      <c r="C292" s="83" t="s">
        <v>68</v>
      </c>
      <c r="D292" s="83" t="s">
        <v>58</v>
      </c>
      <c r="E292" s="98"/>
      <c r="F292" s="98"/>
      <c r="G292" s="99"/>
      <c r="H292" s="100"/>
      <c r="I292" s="113"/>
      <c r="J292" s="113"/>
      <c r="K292" s="103"/>
      <c r="L292" s="103"/>
      <c r="M292" s="103"/>
      <c r="N292" s="104"/>
      <c r="O292" s="105" t="str">
        <f>CONCATENATE("(PF ",T291,")")</f>
        <v>(PF 5)</v>
      </c>
      <c r="P292" s="105" t="str">
        <f>CONCATENATE("(PF ",U291,")")</f>
        <v>(PF 5)</v>
      </c>
      <c r="Q292" s="105" t="str">
        <f>CONCATENATE("(PF ",V291,")")</f>
        <v>(PF 5)</v>
      </c>
      <c r="R292" s="105" t="str">
        <f>CONCATENATE("(PF ",W291,")")</f>
        <v>(PF 5)</v>
      </c>
      <c r="T292" s="114" t="s">
        <v>118</v>
      </c>
      <c r="U292" s="115" t="s">
        <v>118</v>
      </c>
      <c r="V292" s="115" t="s">
        <v>118</v>
      </c>
      <c r="W292" s="116" t="s">
        <v>118</v>
      </c>
    </row>
    <row r="293" spans="2:23" ht="15.75" customHeight="1" thickBot="1" x14ac:dyDescent="0.4">
      <c r="B293" s="82" t="s">
        <v>529</v>
      </c>
      <c r="C293" s="83" t="s">
        <v>68</v>
      </c>
      <c r="D293" s="83" t="s">
        <v>107</v>
      </c>
      <c r="E293" s="84" t="s">
        <v>212</v>
      </c>
      <c r="F293" s="84" t="s">
        <v>213</v>
      </c>
      <c r="G293" s="85" t="s">
        <v>213</v>
      </c>
      <c r="H293" s="86" t="s">
        <v>68</v>
      </c>
      <c r="I293" s="86" t="s">
        <v>110</v>
      </c>
      <c r="J293" s="86" t="s">
        <v>71</v>
      </c>
      <c r="K293" s="88" t="str">
        <f>IFERROR(VLOOKUP($D293,$Y$9:$AB$10,2,FALSE)/IF($D293="Inhalation",IF($J293="Central Tendency",SUMIFS('Inhalation Exposure_Short-Term'!$F$7:$F$397,'Inhalation Exposure_Short-Term'!$B$7:$B$397,$B293,'Inhalation Exposure_Short-Term'!$D$7:$D$397,$C293),SUMIFS('Inhalation Exposure_Short-Term'!$G$7:$G$397,'Inhalation Exposure_Short-Term'!$B$7:$B$397,$B293,'Inhalation Exposure_Short-Term'!$D$7:$D$397,$C293)),IF($J293="Central Tendency",VLOOKUP($B293,'Dermal Exposure'!$A$6:$L$19,9,FALSE),VLOOKUP($B293,'Dermal Exposure'!$A$6:$L$19,4,FALSE))),"--")</f>
        <v>--</v>
      </c>
      <c r="L293" s="88">
        <f>IFERROR(VLOOKUP($D293,$Y$9:$AB$10,2,FALSE)/IF($D293="Inhalation",IF($J293="Central Tendency",SUMIFS('Inhalation Exposure_8-hr'!$H$6:$H$411,'Inhalation Exposure_8-hr'!$B$6:$B$411,$B293,'Inhalation Exposure_8-hr'!$D$6:$D$411,$C293),SUMIFS('Inhalation Exposure_8-hr'!$I$6:$I$411,'Inhalation Exposure_8-hr'!$B$6:$B$411,$B293,'Inhalation Exposure_8-hr'!$D$6:$D$411,$C293)),IF($J293="Central Tendency",VLOOKUP($B293,'Dermal Exposure'!$A$6:$L$19,9,FALSE),VLOOKUP($B293,'Dermal Exposure'!$A$6:$L$19,4,FALSE))),"--")</f>
        <v>329.55826042983301</v>
      </c>
      <c r="M293" s="88">
        <f>IFERROR(VLOOKUP($D293,$Y$9:$AB$10,3,FALSE)/IF($D293="Inhalation",IF($J293="Central Tendency",SUMIFS('Inhalation Exposure_8-hr'!$L$6:$L$411,'Inhalation Exposure_8-hr'!$B$6:$B$411,$B293,'Inhalation Exposure_8-hr'!$D$6:$D$411,$C293),SUMIFS('Inhalation Exposure_8-hr'!$M$6:$M$411,'Inhalation Exposure_8-hr'!$B$6:$B$411,$B293,'Inhalation Exposure_8-hr'!$D$6:$D$411,$C293)),IF($J293="Central Tendency",VLOOKUP($B293,'Dermal Exposure'!$A$6:$L$19,10,FALSE),VLOOKUP($B293,'Dermal Exposure'!$A$6:$L$19,5,FALSE))),"--")</f>
        <v>9.7440640660498019</v>
      </c>
      <c r="N293" s="89">
        <f>IFERROR(VLOOKUP($D293,$Y$9:$AB$10,4,FALSE)/IF($D293="Inhalation",IF($J293="Central Tendency",SUMIFS('Inhalation Exposure_8-hr'!$N$6:$N$411,'Inhalation Exposure_8-hr'!$B$6:$B$411,$B293,'Inhalation Exposure_8-hr'!$D$6:$D$411,$C293),SUMIFS('Inhalation Exposure_8-hr'!$O$6:$O$411,'Inhalation Exposure_8-hr'!$B$6:$B$411,$B293,'Inhalation Exposure_8-hr'!$D$6:$D$411,$C293)),IF($J293="Central Tendency",VLOOKUP($B293,'Dermal Exposure'!$A$6:$L$19,11,FALSE),VLOOKUP($B293,'Dermal Exposure'!$A$6:$L$19,6,FALSE))),"--")</f>
        <v>10.432644593383987</v>
      </c>
      <c r="O293" s="91" t="str">
        <f>IFERROR(K293*T293, "--")</f>
        <v>--</v>
      </c>
      <c r="P293" s="91">
        <f>IFERROR(L293*U293, "--")</f>
        <v>3295.5826042983299</v>
      </c>
      <c r="Q293" s="91">
        <f>IFERROR(M293*V293, "--")</f>
        <v>97.440640660498019</v>
      </c>
      <c r="R293" s="91">
        <f>IFERROR(N293*W293, "--")</f>
        <v>104.32644593383986</v>
      </c>
      <c r="T293" s="92">
        <v>10</v>
      </c>
      <c r="U293" s="93">
        <v>10</v>
      </c>
      <c r="V293" s="93">
        <v>10</v>
      </c>
      <c r="W293" s="94">
        <v>10</v>
      </c>
    </row>
    <row r="294" spans="2:23" ht="15" thickBot="1" x14ac:dyDescent="0.4">
      <c r="B294" s="82" t="s">
        <v>529</v>
      </c>
      <c r="C294" s="83" t="s">
        <v>68</v>
      </c>
      <c r="D294" s="83" t="s">
        <v>107</v>
      </c>
      <c r="E294" s="98"/>
      <c r="F294" s="98"/>
      <c r="G294" s="99"/>
      <c r="H294" s="101"/>
      <c r="I294" s="101"/>
      <c r="J294" s="113"/>
      <c r="K294" s="103"/>
      <c r="L294" s="103"/>
      <c r="M294" s="103"/>
      <c r="N294" s="104"/>
      <c r="O294" s="105" t="str">
        <f>CONCATENATE("(APF ",T293,")")</f>
        <v>(APF 10)</v>
      </c>
      <c r="P294" s="105" t="str">
        <f>CONCATENATE("(APF ",U293,")")</f>
        <v>(APF 10)</v>
      </c>
      <c r="Q294" s="105" t="str">
        <f>CONCATENATE("(APF ",V293,")")</f>
        <v>(APF 10)</v>
      </c>
      <c r="R294" s="105" t="str">
        <f>CONCATENATE("(APF ",W293,")")</f>
        <v>(APF 10)</v>
      </c>
      <c r="T294" s="106" t="s">
        <v>111</v>
      </c>
      <c r="U294" s="107" t="s">
        <v>111</v>
      </c>
      <c r="V294" s="107" t="s">
        <v>111</v>
      </c>
      <c r="W294" s="108" t="s">
        <v>111</v>
      </c>
    </row>
    <row r="295" spans="2:23" ht="15" thickBot="1" x14ac:dyDescent="0.4">
      <c r="B295" s="82" t="s">
        <v>529</v>
      </c>
      <c r="C295" s="83" t="s">
        <v>68</v>
      </c>
      <c r="D295" s="83" t="s">
        <v>107</v>
      </c>
      <c r="E295" s="98"/>
      <c r="F295" s="98"/>
      <c r="G295" s="99"/>
      <c r="H295" s="101"/>
      <c r="I295" s="101"/>
      <c r="J295" s="86" t="s">
        <v>112</v>
      </c>
      <c r="K295" s="88" t="str">
        <f>IFERROR(VLOOKUP($D295,$Y$9:$AB$10,2,FALSE)/IF($D295="Inhalation",IF($J295="Central Tendency",SUMIFS('Inhalation Exposure_Short-Term'!$F$7:$F$397,'Inhalation Exposure_Short-Term'!$B$7:$B$397,$B295,'Inhalation Exposure_Short-Term'!$D$7:$D$397,$C295),SUMIFS('Inhalation Exposure_Short-Term'!$G$7:$G$397,'Inhalation Exposure_Short-Term'!$B$7:$B$397,$B295,'Inhalation Exposure_Short-Term'!$D$7:$D$397,$C295)),IF($J295="Central Tendency",VLOOKUP($B295,'Dermal Exposure'!$A$6:$L$19,9,FALSE),VLOOKUP($B295,'Dermal Exposure'!$A$6:$L$19,4,FALSE))),"--")</f>
        <v>--</v>
      </c>
      <c r="L295" s="88">
        <f>IFERROR(VLOOKUP($D295,$Y$9:$AB$10,2,FALSE)/IF($D295="Inhalation",IF($J295="Central Tendency",SUMIFS('Inhalation Exposure_8-hr'!$H$6:$H$411,'Inhalation Exposure_8-hr'!$B$6:$B$411,$B295,'Inhalation Exposure_8-hr'!$D$6:$D$411,$C295),SUMIFS('Inhalation Exposure_8-hr'!$I$6:$I$411,'Inhalation Exposure_8-hr'!$B$6:$B$411,$B295,'Inhalation Exposure_8-hr'!$D$6:$D$411,$C295)),IF($J295="Central Tendency",VLOOKUP($B295,'Dermal Exposure'!$A$6:$L$19,9,FALSE),VLOOKUP($B295,'Dermal Exposure'!$A$6:$L$19,4,FALSE))),"--")</f>
        <v>90.305304550205975</v>
      </c>
      <c r="M295" s="88">
        <f>IFERROR(VLOOKUP($D295,$Y$9:$AB$10,3,FALSE)/IF($D295="Inhalation",IF($J295="Central Tendency",SUMIFS('Inhalation Exposure_8-hr'!$L$6:$L$411,'Inhalation Exposure_8-hr'!$B$6:$B$411,$B295,'Inhalation Exposure_8-hr'!$D$6:$D$411,$C295),SUMIFS('Inhalation Exposure_8-hr'!$M$6:$M$411,'Inhalation Exposure_8-hr'!$B$6:$B$411,$B295,'Inhalation Exposure_8-hr'!$D$6:$D$411,$C295)),IF($J295="Central Tendency",VLOOKUP($B295,'Dermal Exposure'!$A$6:$L$19,10,FALSE),VLOOKUP($B295,'Dermal Exposure'!$A$6:$L$19,5,FALSE))),"--")</f>
        <v>2.6700610444225101</v>
      </c>
      <c r="N295" s="89">
        <f>IFERROR(VLOOKUP($D295,$Y$9:$AB$10,4,FALSE)/IF($D295="Inhalation",IF($J295="Central Tendency",SUMIFS('Inhalation Exposure_8-hr'!$N$6:$N$411,'Inhalation Exposure_8-hr'!$B$6:$B$411,$B295,'Inhalation Exposure_8-hr'!$D$6:$D$411,$C295),SUMIFS('Inhalation Exposure_8-hr'!$O$6:$O$411,'Inhalation Exposure_8-hr'!$B$6:$B$411,$B295,'Inhalation Exposure_8-hr'!$D$6:$D$411,$C295)),IF($J295="Central Tendency",VLOOKUP($B295,'Dermal Exposure'!$A$6:$L$19,11,FALSE),VLOOKUP($B295,'Dermal Exposure'!$A$6:$L$19,6,FALSE))),"--")</f>
        <v>2.8587453582283677</v>
      </c>
      <c r="O295" s="91" t="str">
        <f>IFERROR(K295*T295, "--")</f>
        <v>--</v>
      </c>
      <c r="P295" s="91">
        <f>IFERROR(L295*U295, "--")</f>
        <v>903.05304550205972</v>
      </c>
      <c r="Q295" s="91">
        <f>IFERROR(M295*V295, "--")</f>
        <v>133.5030522211255</v>
      </c>
      <c r="R295" s="91">
        <f>IFERROR(N295*W295, "--")</f>
        <v>142.93726791141839</v>
      </c>
      <c r="T295" s="109">
        <v>10</v>
      </c>
      <c r="U295" s="110">
        <v>10</v>
      </c>
      <c r="V295" s="110">
        <v>50</v>
      </c>
      <c r="W295" s="111">
        <v>50</v>
      </c>
    </row>
    <row r="296" spans="2:23" ht="15" thickBot="1" x14ac:dyDescent="0.4">
      <c r="B296" s="82" t="s">
        <v>529</v>
      </c>
      <c r="C296" s="83" t="s">
        <v>68</v>
      </c>
      <c r="D296" s="83" t="s">
        <v>107</v>
      </c>
      <c r="E296" s="98"/>
      <c r="F296" s="98"/>
      <c r="G296" s="99"/>
      <c r="H296" s="101"/>
      <c r="I296" s="113"/>
      <c r="J296" s="113"/>
      <c r="K296" s="103"/>
      <c r="L296" s="103"/>
      <c r="M296" s="103"/>
      <c r="N296" s="104"/>
      <c r="O296" s="105" t="str">
        <f>CONCATENATE("(APF ",T295,")")</f>
        <v>(APF 10)</v>
      </c>
      <c r="P296" s="105" t="str">
        <f>CONCATENATE("(APF ",U295,")")</f>
        <v>(APF 10)</v>
      </c>
      <c r="Q296" s="105" t="str">
        <f>CONCATENATE("(APF ",V295,")")</f>
        <v>(APF 50)</v>
      </c>
      <c r="R296" s="105" t="str">
        <f>CONCATENATE("(APF ",W295,")")</f>
        <v>(APF 50)</v>
      </c>
      <c r="T296" s="114" t="s">
        <v>111</v>
      </c>
      <c r="U296" s="115" t="s">
        <v>111</v>
      </c>
      <c r="V296" s="115" t="s">
        <v>111</v>
      </c>
      <c r="W296" s="116" t="s">
        <v>111</v>
      </c>
    </row>
    <row r="297" spans="2:23" ht="15.75" customHeight="1" thickBot="1" x14ac:dyDescent="0.4">
      <c r="B297" s="82" t="s">
        <v>530</v>
      </c>
      <c r="C297" s="83" t="s">
        <v>80</v>
      </c>
      <c r="D297" s="83" t="s">
        <v>107</v>
      </c>
      <c r="E297" s="98"/>
      <c r="F297" s="98"/>
      <c r="G297" s="99"/>
      <c r="H297" s="101"/>
      <c r="I297" s="86" t="s">
        <v>110</v>
      </c>
      <c r="J297" s="86" t="s">
        <v>71</v>
      </c>
      <c r="K297" s="88" t="str">
        <f>IFERROR(VLOOKUP($D297,$Y$9:$AB$10,2,FALSE)/IF($D297="Inhalation",IF($J297="Central Tendency",SUMIFS('Inhalation Exposure_Short-Term'!$F$7:$F$397,'Inhalation Exposure_Short-Term'!$B$7:$B$397,$B297,'Inhalation Exposure_Short-Term'!$D$7:$D$397,$C297),SUMIFS('Inhalation Exposure_Short-Term'!$G$7:$G$397,'Inhalation Exposure_Short-Term'!$B$7:$B$397,$B297,'Inhalation Exposure_Short-Term'!$D$7:$D$397,$C297)),IF($J297="Central Tendency",VLOOKUP($B297,'Dermal Exposure'!$A$6:$L$19,9,FALSE),VLOOKUP($B297,'Dermal Exposure'!$A$6:$L$19,4,FALSE))),"--")</f>
        <v>--</v>
      </c>
      <c r="L297" s="88">
        <f>IFERROR(VLOOKUP($D297,$Y$9:$AB$10,2,FALSE)/IF($D297="Inhalation",IF($J297="Central Tendency",SUMIFS('Inhalation Exposure_8-hr'!$H$6:$H$411,'Inhalation Exposure_8-hr'!$B$6:$B$411,$B297,'Inhalation Exposure_8-hr'!$D$6:$D$411,$C297),SUMIFS('Inhalation Exposure_8-hr'!$I$6:$I$411,'Inhalation Exposure_8-hr'!$B$6:$B$411,$B297,'Inhalation Exposure_8-hr'!$D$6:$D$411,$C297)),IF($J297="Central Tendency",VLOOKUP($B297,'Dermal Exposure'!$A$6:$L$19,9,FALSE),VLOOKUP($B297,'Dermal Exposure'!$A$6:$L$19,4,FALSE))),"--")</f>
        <v>329.55826042983301</v>
      </c>
      <c r="M297" s="88">
        <f>IFERROR(VLOOKUP($D297,$Y$9:$AB$10,3,FALSE)/IF($D297="Inhalation",IF($J297="Central Tendency",SUMIFS('Inhalation Exposure_8-hr'!$L$6:$L$411,'Inhalation Exposure_8-hr'!$B$6:$B$411,$B297,'Inhalation Exposure_8-hr'!$D$6:$D$411,$C297),SUMIFS('Inhalation Exposure_8-hr'!$M$6:$M$411,'Inhalation Exposure_8-hr'!$B$6:$B$411,$B297,'Inhalation Exposure_8-hr'!$D$6:$D$411,$C297)),IF($J297="Central Tendency",VLOOKUP($B297,'Dermal Exposure'!$A$6:$L$19,10,FALSE),VLOOKUP($B297,'Dermal Exposure'!$A$6:$L$19,5,FALSE))),"--")</f>
        <v>9.7440640660498019</v>
      </c>
      <c r="N297" s="89">
        <f>IFERROR(VLOOKUP($D297,$Y$9:$AB$10,4,FALSE)/IF($D297="Inhalation",IF($J297="Central Tendency",SUMIFS('Inhalation Exposure_8-hr'!$N$6:$N$411,'Inhalation Exposure_8-hr'!$B$6:$B$411,$B297,'Inhalation Exposure_8-hr'!$D$6:$D$411,$C297),SUMIFS('Inhalation Exposure_8-hr'!$O$6:$O$411,'Inhalation Exposure_8-hr'!$B$6:$B$411,$B297,'Inhalation Exposure_8-hr'!$D$6:$D$411,$C297)),IF($J297="Central Tendency",VLOOKUP($B297,'Dermal Exposure'!$A$6:$L$19,11,FALSE),VLOOKUP($B297,'Dermal Exposure'!$A$6:$L$19,6,FALSE))),"--")</f>
        <v>10.432644593383987</v>
      </c>
      <c r="O297" s="91" t="str">
        <f>IFERROR(K297*T297, "--")</f>
        <v>--</v>
      </c>
      <c r="P297" s="91">
        <f>IFERROR(L297*U297, "--")</f>
        <v>3295.5826042983299</v>
      </c>
      <c r="Q297" s="91">
        <f>IFERROR(M297*V297, "--")</f>
        <v>97.440640660498019</v>
      </c>
      <c r="R297" s="91">
        <f>IFERROR(N297*W297, "--")</f>
        <v>104.32644593383986</v>
      </c>
      <c r="T297" s="92">
        <v>10</v>
      </c>
      <c r="U297" s="93">
        <v>10</v>
      </c>
      <c r="V297" s="93">
        <v>10</v>
      </c>
      <c r="W297" s="94">
        <v>10</v>
      </c>
    </row>
    <row r="298" spans="2:23" ht="15" thickBot="1" x14ac:dyDescent="0.4">
      <c r="B298" s="82" t="s">
        <v>530</v>
      </c>
      <c r="C298" s="83" t="s">
        <v>80</v>
      </c>
      <c r="D298" s="83" t="s">
        <v>107</v>
      </c>
      <c r="E298" s="98"/>
      <c r="F298" s="98"/>
      <c r="G298" s="99"/>
      <c r="H298" s="101"/>
      <c r="I298" s="101"/>
      <c r="J298" s="113"/>
      <c r="K298" s="103"/>
      <c r="L298" s="103"/>
      <c r="M298" s="103"/>
      <c r="N298" s="104"/>
      <c r="O298" s="105" t="str">
        <f>CONCATENATE("(APF ",T297,")")</f>
        <v>(APF 10)</v>
      </c>
      <c r="P298" s="105" t="str">
        <f>CONCATENATE("(APF ",U297,")")</f>
        <v>(APF 10)</v>
      </c>
      <c r="Q298" s="105" t="str">
        <f>CONCATENATE("(APF ",V297,")")</f>
        <v>(APF 10)</v>
      </c>
      <c r="R298" s="105" t="str">
        <f>CONCATENATE("(APF ",W297,")")</f>
        <v>(APF 10)</v>
      </c>
      <c r="T298" s="106" t="s">
        <v>111</v>
      </c>
      <c r="U298" s="107" t="s">
        <v>111</v>
      </c>
      <c r="V298" s="107" t="s">
        <v>111</v>
      </c>
      <c r="W298" s="108" t="s">
        <v>111</v>
      </c>
    </row>
    <row r="299" spans="2:23" ht="15" thickBot="1" x14ac:dyDescent="0.4">
      <c r="B299" s="82" t="s">
        <v>530</v>
      </c>
      <c r="C299" s="83" t="s">
        <v>80</v>
      </c>
      <c r="D299" s="83" t="s">
        <v>107</v>
      </c>
      <c r="E299" s="98"/>
      <c r="F299" s="98"/>
      <c r="G299" s="99"/>
      <c r="H299" s="101"/>
      <c r="I299" s="101"/>
      <c r="J299" s="86" t="s">
        <v>112</v>
      </c>
      <c r="K299" s="88" t="str">
        <f>IFERROR(VLOOKUP($D299,$Y$9:$AB$10,2,FALSE)/IF($D299="Inhalation",IF($J299="Central Tendency",SUMIFS('Inhalation Exposure_Short-Term'!$F$7:$F$397,'Inhalation Exposure_Short-Term'!$B$7:$B$397,$B299,'Inhalation Exposure_Short-Term'!$D$7:$D$397,$C299),SUMIFS('Inhalation Exposure_Short-Term'!$G$7:$G$397,'Inhalation Exposure_Short-Term'!$B$7:$B$397,$B299,'Inhalation Exposure_Short-Term'!$D$7:$D$397,$C299)),IF($J299="Central Tendency",VLOOKUP($B299,'Dermal Exposure'!$A$6:$L$19,9,FALSE),VLOOKUP($B299,'Dermal Exposure'!$A$6:$L$19,4,FALSE))),"--")</f>
        <v>--</v>
      </c>
      <c r="L299" s="88">
        <f>IFERROR(VLOOKUP($D299,$Y$9:$AB$10,2,FALSE)/IF($D299="Inhalation",IF($J299="Central Tendency",SUMIFS('Inhalation Exposure_8-hr'!$H$6:$H$411,'Inhalation Exposure_8-hr'!$B$6:$B$411,$B299,'Inhalation Exposure_8-hr'!$D$6:$D$411,$C299),SUMIFS('Inhalation Exposure_8-hr'!$I$6:$I$411,'Inhalation Exposure_8-hr'!$B$6:$B$411,$B299,'Inhalation Exposure_8-hr'!$D$6:$D$411,$C299)),IF($J299="Central Tendency",VLOOKUP($B299,'Dermal Exposure'!$A$6:$L$19,9,FALSE),VLOOKUP($B299,'Dermal Exposure'!$A$6:$L$19,4,FALSE))),"--")</f>
        <v>329.55826042983301</v>
      </c>
      <c r="M299" s="88">
        <f>IFERROR(VLOOKUP($D299,$Y$9:$AB$10,3,FALSE)/IF($D299="Inhalation",IF($J299="Central Tendency",SUMIFS('Inhalation Exposure_8-hr'!$L$6:$L$411,'Inhalation Exposure_8-hr'!$B$6:$B$411,$B299,'Inhalation Exposure_8-hr'!$D$6:$D$411,$C299),SUMIFS('Inhalation Exposure_8-hr'!$M$6:$M$411,'Inhalation Exposure_8-hr'!$B$6:$B$411,$B299,'Inhalation Exposure_8-hr'!$D$6:$D$411,$C299)),IF($J299="Central Tendency",VLOOKUP($B299,'Dermal Exposure'!$A$6:$L$19,10,FALSE),VLOOKUP($B299,'Dermal Exposure'!$A$6:$L$19,5,FALSE))),"--")</f>
        <v>9.7440640660498019</v>
      </c>
      <c r="N299" s="89">
        <f>IFERROR(VLOOKUP($D299,$Y$9:$AB$10,4,FALSE)/IF($D299="Inhalation",IF($J299="Central Tendency",SUMIFS('Inhalation Exposure_8-hr'!$N$6:$N$411,'Inhalation Exposure_8-hr'!$B$6:$B$411,$B299,'Inhalation Exposure_8-hr'!$D$6:$D$411,$C299),SUMIFS('Inhalation Exposure_8-hr'!$O$6:$O$411,'Inhalation Exposure_8-hr'!$B$6:$B$411,$B299,'Inhalation Exposure_8-hr'!$D$6:$D$411,$C299)),IF($J299="Central Tendency",VLOOKUP($B299,'Dermal Exposure'!$A$6:$L$19,11,FALSE),VLOOKUP($B299,'Dermal Exposure'!$A$6:$L$19,6,FALSE))),"--")</f>
        <v>10.432644593383987</v>
      </c>
      <c r="O299" s="91" t="str">
        <f>IFERROR(K299*T299, "--")</f>
        <v>--</v>
      </c>
      <c r="P299" s="91">
        <f>IFERROR(L299*U299, "--")</f>
        <v>3295.5826042983299</v>
      </c>
      <c r="Q299" s="91">
        <f>IFERROR(M299*V299, "--")</f>
        <v>97.440640660498019</v>
      </c>
      <c r="R299" s="91">
        <f>IFERROR(N299*W299, "--")</f>
        <v>104.32644593383986</v>
      </c>
      <c r="T299" s="109">
        <v>10</v>
      </c>
      <c r="U299" s="110">
        <v>10</v>
      </c>
      <c r="V299" s="110">
        <v>10</v>
      </c>
      <c r="W299" s="111">
        <v>10</v>
      </c>
    </row>
    <row r="300" spans="2:23" ht="15" thickBot="1" x14ac:dyDescent="0.4">
      <c r="B300" s="82" t="s">
        <v>530</v>
      </c>
      <c r="C300" s="83" t="s">
        <v>80</v>
      </c>
      <c r="D300" s="83" t="s">
        <v>107</v>
      </c>
      <c r="E300" s="98"/>
      <c r="F300" s="98"/>
      <c r="G300" s="99"/>
      <c r="H300" s="101"/>
      <c r="I300" s="113"/>
      <c r="J300" s="113"/>
      <c r="K300" s="103"/>
      <c r="L300" s="103"/>
      <c r="M300" s="103"/>
      <c r="N300" s="104"/>
      <c r="O300" s="105" t="str">
        <f>CONCATENATE("(APF ",T299,")")</f>
        <v>(APF 10)</v>
      </c>
      <c r="P300" s="105" t="str">
        <f>CONCATENATE("(APF ",U299,")")</f>
        <v>(APF 10)</v>
      </c>
      <c r="Q300" s="105" t="str">
        <f>CONCATENATE("(APF ",V299,")")</f>
        <v>(APF 10)</v>
      </c>
      <c r="R300" s="105" t="str">
        <f>CONCATENATE("(APF ",W299,")")</f>
        <v>(APF 10)</v>
      </c>
      <c r="T300" s="114" t="s">
        <v>111</v>
      </c>
      <c r="U300" s="115" t="s">
        <v>111</v>
      </c>
      <c r="V300" s="115" t="s">
        <v>111</v>
      </c>
      <c r="W300" s="116" t="s">
        <v>111</v>
      </c>
    </row>
    <row r="301" spans="2:23" ht="15.75" customHeight="1" thickBot="1" x14ac:dyDescent="0.4">
      <c r="B301" s="82">
        <v>13</v>
      </c>
      <c r="C301" s="83" t="s">
        <v>68</v>
      </c>
      <c r="D301" s="83" t="s">
        <v>58</v>
      </c>
      <c r="E301" s="98"/>
      <c r="F301" s="98"/>
      <c r="G301" s="99"/>
      <c r="H301" s="101"/>
      <c r="I301" s="101" t="s">
        <v>58</v>
      </c>
      <c r="J301" s="86" t="s">
        <v>71</v>
      </c>
      <c r="K301" s="88" t="s">
        <v>86</v>
      </c>
      <c r="L301" s="88" t="s">
        <v>86</v>
      </c>
      <c r="M301" s="88">
        <f>IFERROR(VLOOKUP($D301,$Y$9:$AB$10,3,FALSE)/IF($D301="Inhalation",IF($J301="Central Tendency",SUMIFS('Inhalation Exposure_8-hr'!$L$6:$L$411,'Inhalation Exposure_8-hr'!$B$6:$B$411,$B301,'Inhalation Exposure_8-hr'!$D$6:$D$411,$C301),SUMIFS('Inhalation Exposure_8-hr'!$M$6:$M$411,'Inhalation Exposure_8-hr'!$B$6:$B$411,$B301,'Inhalation Exposure_8-hr'!$D$6:$D$411,$C301)),IF($J301="Central Tendency",VLOOKUP($B301,'Dermal Exposure'!$A$6:$L$19,5,FALSE),VLOOKUP($B301,'Dermal Exposure'!$A$6:$L$19,10,FALSE))),"--")</f>
        <v>878.45159789513957</v>
      </c>
      <c r="N301" s="89">
        <f>IFERROR(VLOOKUP($D301,$Y$9:$AB$10,4,FALSE)/IF($D301="Inhalation",IF($J301="Central Tendency",SUMIFS('Inhalation Exposure_8-hr'!$N$6:$N$411,'Inhalation Exposure_8-hr'!$B$6:$B$411,$B301,'Inhalation Exposure_8-hr'!$D$6:$D$411,$C301),SUMIFS('Inhalation Exposure_8-hr'!$O$6:$O$411,'Inhalation Exposure_8-hr'!$B$6:$B$411,$B301,'Inhalation Exposure_8-hr'!$D$6:$D$411,$C301)),IF($J301="Central Tendency",VLOOKUP($B301,'Dermal Exposure'!$A$6:$L$19,6,FALSE),VLOOKUP($B301,'Dermal Exposure'!$A$6:$L$19,11,FALSE))),"--")</f>
        <v>940.52884414639607</v>
      </c>
      <c r="O301" s="91" t="str">
        <f>IFERROR(K301*T301, "--")</f>
        <v>--</v>
      </c>
      <c r="P301" s="91" t="str">
        <f>IFERROR(L301*U301, "--")</f>
        <v>--</v>
      </c>
      <c r="Q301" s="91">
        <f>IFERROR(M301*V301, "--")</f>
        <v>4392.2579894756982</v>
      </c>
      <c r="R301" s="91">
        <f>IFERROR(N301*W301, "--")</f>
        <v>4702.6442207319806</v>
      </c>
      <c r="T301" s="92">
        <v>5</v>
      </c>
      <c r="U301" s="93">
        <v>5</v>
      </c>
      <c r="V301" s="93">
        <v>5</v>
      </c>
      <c r="W301" s="94">
        <v>5</v>
      </c>
    </row>
    <row r="302" spans="2:23" ht="15" thickBot="1" x14ac:dyDescent="0.4">
      <c r="B302" s="82">
        <v>13</v>
      </c>
      <c r="C302" s="83" t="s">
        <v>68</v>
      </c>
      <c r="D302" s="83" t="s">
        <v>58</v>
      </c>
      <c r="E302" s="98"/>
      <c r="F302" s="98"/>
      <c r="G302" s="99"/>
      <c r="H302" s="101"/>
      <c r="I302" s="101"/>
      <c r="J302" s="113"/>
      <c r="K302" s="103"/>
      <c r="L302" s="103"/>
      <c r="M302" s="103"/>
      <c r="N302" s="104"/>
      <c r="O302" s="105" t="str">
        <f>CONCATENATE("(PF ",T301,")")</f>
        <v>(PF 5)</v>
      </c>
      <c r="P302" s="105" t="str">
        <f>CONCATENATE("(PF ",U301,")")</f>
        <v>(PF 5)</v>
      </c>
      <c r="Q302" s="105" t="str">
        <f>CONCATENATE("(PF ",V301,")")</f>
        <v>(PF 5)</v>
      </c>
      <c r="R302" s="105" t="str">
        <f>CONCATENATE("(PF ",W301,")")</f>
        <v>(PF 5)</v>
      </c>
      <c r="T302" s="106" t="s">
        <v>118</v>
      </c>
      <c r="U302" s="107" t="s">
        <v>118</v>
      </c>
      <c r="V302" s="107" t="s">
        <v>118</v>
      </c>
      <c r="W302" s="108" t="s">
        <v>118</v>
      </c>
    </row>
    <row r="303" spans="2:23" ht="15" thickBot="1" x14ac:dyDescent="0.4">
      <c r="B303" s="82">
        <v>13</v>
      </c>
      <c r="C303" s="83" t="s">
        <v>68</v>
      </c>
      <c r="D303" s="83" t="s">
        <v>58</v>
      </c>
      <c r="E303" s="98"/>
      <c r="F303" s="98"/>
      <c r="G303" s="99"/>
      <c r="H303" s="101"/>
      <c r="I303" s="101"/>
      <c r="J303" s="86" t="s">
        <v>112</v>
      </c>
      <c r="K303" s="88" t="s">
        <v>86</v>
      </c>
      <c r="L303" s="88" t="s">
        <v>86</v>
      </c>
      <c r="M303" s="88">
        <f>IFERROR(VLOOKUP($D303,$Y$9:$AB$10,3,FALSE)/IF($D303="Inhalation",IF($J303="Central Tendency",SUMIFS('Inhalation Exposure_8-hr'!$L$6:$L$411,'Inhalation Exposure_8-hr'!$B$6:$B$411,$B303,'Inhalation Exposure_8-hr'!$D$6:$D$411,$C303),SUMIFS('Inhalation Exposure_8-hr'!$M$6:$M$411,'Inhalation Exposure_8-hr'!$B$6:$B$411,$B303,'Inhalation Exposure_8-hr'!$D$6:$D$411,$C303)),IF($J303="Central Tendency",VLOOKUP($B303,'Dermal Exposure'!$A$6:$L$19,5,FALSE),VLOOKUP($B303,'Dermal Exposure'!$A$6:$L$19,10,FALSE))),"--")</f>
        <v>200.65251768552039</v>
      </c>
      <c r="N303" s="89">
        <f>IFERROR(VLOOKUP($D303,$Y$9:$AB$10,4,FALSE)/IF($D303="Inhalation",IF($J303="Central Tendency",SUMIFS('Inhalation Exposure_8-hr'!$N$6:$N$411,'Inhalation Exposure_8-hr'!$B$6:$B$411,$B303,'Inhalation Exposure_8-hr'!$D$6:$D$411,$C303),SUMIFS('Inhalation Exposure_8-hr'!$O$6:$O$411,'Inhalation Exposure_8-hr'!$B$6:$B$411,$B303,'Inhalation Exposure_8-hr'!$D$6:$D$411,$C303)),IF($J303="Central Tendency",VLOOKUP($B303,'Dermal Exposure'!$A$6:$L$19,6,FALSE),VLOOKUP($B303,'Dermal Exposure'!$A$6:$L$19,11,FALSE))),"--")</f>
        <v>214.83196226863049</v>
      </c>
      <c r="O303" s="91" t="str">
        <f>IFERROR(K303*T303, "--")</f>
        <v>--</v>
      </c>
      <c r="P303" s="91" t="str">
        <f>IFERROR(L303*U303, "--")</f>
        <v>--</v>
      </c>
      <c r="Q303" s="91">
        <f>IFERROR(M303*V303, "--")</f>
        <v>1003.2625884276019</v>
      </c>
      <c r="R303" s="91">
        <f>IFERROR(N303*W303, "--")</f>
        <v>1074.1598113431523</v>
      </c>
      <c r="T303" s="109">
        <v>5</v>
      </c>
      <c r="U303" s="110">
        <v>5</v>
      </c>
      <c r="V303" s="110">
        <v>5</v>
      </c>
      <c r="W303" s="111">
        <v>5</v>
      </c>
    </row>
    <row r="304" spans="2:23" ht="15" thickBot="1" x14ac:dyDescent="0.4">
      <c r="B304" s="82">
        <v>13</v>
      </c>
      <c r="C304" s="83" t="s">
        <v>68</v>
      </c>
      <c r="D304" s="83" t="s">
        <v>58</v>
      </c>
      <c r="E304" s="98"/>
      <c r="F304" s="98"/>
      <c r="G304" s="99"/>
      <c r="H304" s="113"/>
      <c r="I304" s="113"/>
      <c r="J304" s="113"/>
      <c r="K304" s="103"/>
      <c r="L304" s="103"/>
      <c r="M304" s="103"/>
      <c r="N304" s="104"/>
      <c r="O304" s="105" t="str">
        <f>CONCATENATE("(PF ",T303,")")</f>
        <v>(PF 5)</v>
      </c>
      <c r="P304" s="105" t="str">
        <f>CONCATENATE("(PF ",U303,")")</f>
        <v>(PF 5)</v>
      </c>
      <c r="Q304" s="105" t="str">
        <f>CONCATENATE("(PF ",V303,")")</f>
        <v>(PF 5)</v>
      </c>
      <c r="R304" s="105" t="str">
        <f>CONCATENATE("(PF ",W303,")")</f>
        <v>(PF 5)</v>
      </c>
      <c r="T304" s="114" t="s">
        <v>118</v>
      </c>
      <c r="U304" s="115" t="s">
        <v>118</v>
      </c>
      <c r="V304" s="115" t="s">
        <v>118</v>
      </c>
      <c r="W304" s="116" t="s">
        <v>118</v>
      </c>
    </row>
    <row r="305" spans="2:23" ht="15.75" customHeight="1" thickBot="1" x14ac:dyDescent="0.4">
      <c r="B305" s="82" t="s">
        <v>217</v>
      </c>
      <c r="C305" s="83" t="s">
        <v>68</v>
      </c>
      <c r="D305" s="83" t="s">
        <v>107</v>
      </c>
      <c r="E305" s="84" t="s">
        <v>218</v>
      </c>
      <c r="F305" s="84" t="s">
        <v>218</v>
      </c>
      <c r="G305" s="85" t="s">
        <v>219</v>
      </c>
      <c r="H305" s="86" t="s">
        <v>68</v>
      </c>
      <c r="I305" s="86" t="s">
        <v>110</v>
      </c>
      <c r="J305" s="86" t="s">
        <v>71</v>
      </c>
      <c r="K305" s="88" t="str">
        <f>IFERROR(VLOOKUP($D305,$Y$9:$AB$10,2,FALSE)/IF($D305="Inhalation",IF($J305="Central Tendency",SUMIFS('Inhalation Exposure_Short-Term'!$F$7:$F$397,'Inhalation Exposure_Short-Term'!$B$7:$B$397,$B305,'Inhalation Exposure_Short-Term'!$D$7:$D$397,$C305),SUMIFS('Inhalation Exposure_Short-Term'!$G$7:$G$397,'Inhalation Exposure_Short-Term'!$B$7:$B$397,$B305,'Inhalation Exposure_Short-Term'!$D$7:$D$397,$C305)),IF($J305="Central Tendency",VLOOKUP($B305,'Dermal Exposure'!$A$6:$L$19,9,FALSE),VLOOKUP($B305,'Dermal Exposure'!$A$6:$L$19,4,FALSE))),"--")</f>
        <v>--</v>
      </c>
      <c r="L305" s="88">
        <f>IFERROR(VLOOKUP($D305,$Y$9:$AB$10,2,FALSE)/IF($D305="Inhalation",IF($J305="Central Tendency",SUMIFS('Inhalation Exposure_8-hr'!$H$6:$H$411,'Inhalation Exposure_8-hr'!$B$6:$B$411,$B305,'Inhalation Exposure_8-hr'!$D$6:$D$411,$C305),SUMIFS('Inhalation Exposure_8-hr'!$I$6:$I$411,'Inhalation Exposure_8-hr'!$B$6:$B$411,$B305,'Inhalation Exposure_8-hr'!$D$6:$D$411,$C305)),IF($J305="Central Tendency",VLOOKUP($B305,'Dermal Exposure'!$A$6:$L$19,9,FALSE),VLOOKUP($B305,'Dermal Exposure'!$A$6:$L$19,4,FALSE))),"--")</f>
        <v>100375.3462245347</v>
      </c>
      <c r="M305" s="88">
        <f>IFERROR(VLOOKUP($D305,$Y$9:$AB$10,3,FALSE)/IF($D305="Inhalation",IF($J305="Central Tendency",SUMIFS('Inhalation Exposure_8-hr'!$L$6:$L$411,'Inhalation Exposure_8-hr'!$B$6:$B$411,$B305,'Inhalation Exposure_8-hr'!$D$6:$D$411,$C305),SUMIFS('Inhalation Exposure_8-hr'!$M$6:$M$411,'Inhalation Exposure_8-hr'!$B$6:$B$411,$B305,'Inhalation Exposure_8-hr'!$D$6:$D$411,$C305)),IF($J305="Central Tendency",VLOOKUP($B305,'Dermal Exposure'!$A$6:$L$19,10,FALSE),VLOOKUP($B305,'Dermal Exposure'!$A$6:$L$19,5,FALSE))),"--")</f>
        <v>2967.8024243365553</v>
      </c>
      <c r="N305" s="89">
        <f>IFERROR(VLOOKUP($D305,$Y$9:$AB$10,4,FALSE)/IF($D305="Inhalation",IF($J305="Central Tendency",SUMIFS('Inhalation Exposure_8-hr'!$N$6:$N$411,'Inhalation Exposure_8-hr'!$B$6:$B$411,$B305,'Inhalation Exposure_8-hr'!$D$6:$D$411,$C305),SUMIFS('Inhalation Exposure_8-hr'!$O$6:$O$411,'Inhalation Exposure_8-hr'!$B$6:$B$411,$B305,'Inhalation Exposure_8-hr'!$D$6:$D$411,$C305)),IF($J305="Central Tendency",VLOOKUP($B305,'Dermal Exposure'!$A$6:$L$19,11,FALSE),VLOOKUP($B305,'Dermal Exposure'!$A$6:$L$19,6,FALSE))),"--")</f>
        <v>3177.5271289896714</v>
      </c>
      <c r="O305" s="91" t="str">
        <f>IFERROR(K305*T305, "--")</f>
        <v>--</v>
      </c>
      <c r="P305" s="91">
        <f>IFERROR(L305*U305, "--")</f>
        <v>1003753.462245347</v>
      </c>
      <c r="Q305" s="91">
        <f>IFERROR(M305*V305, "--")</f>
        <v>29678.024243365551</v>
      </c>
      <c r="R305" s="91">
        <f>IFERROR(N305*W305, "--")</f>
        <v>31775.271289896715</v>
      </c>
      <c r="T305" s="92">
        <v>10</v>
      </c>
      <c r="U305" s="93">
        <v>10</v>
      </c>
      <c r="V305" s="93">
        <v>10</v>
      </c>
      <c r="W305" s="94">
        <v>10</v>
      </c>
    </row>
    <row r="306" spans="2:23" ht="15" thickBot="1" x14ac:dyDescent="0.4">
      <c r="B306" s="82" t="s">
        <v>217</v>
      </c>
      <c r="C306" s="83" t="s">
        <v>68</v>
      </c>
      <c r="D306" s="83" t="s">
        <v>107</v>
      </c>
      <c r="E306" s="98"/>
      <c r="F306" s="98"/>
      <c r="G306" s="100"/>
      <c r="H306" s="101"/>
      <c r="I306" s="101"/>
      <c r="J306" s="113"/>
      <c r="K306" s="103"/>
      <c r="L306" s="103"/>
      <c r="M306" s="103"/>
      <c r="N306" s="104"/>
      <c r="O306" s="105" t="str">
        <f>CONCATENATE("(APF ",T305,")")</f>
        <v>(APF 10)</v>
      </c>
      <c r="P306" s="105" t="str">
        <f>CONCATENATE("(APF ",U305,")")</f>
        <v>(APF 10)</v>
      </c>
      <c r="Q306" s="105" t="str">
        <f>CONCATENATE("(APF ",V305,")")</f>
        <v>(APF 10)</v>
      </c>
      <c r="R306" s="105" t="str">
        <f>CONCATENATE("(APF ",W305,")")</f>
        <v>(APF 10)</v>
      </c>
      <c r="T306" s="106" t="s">
        <v>111</v>
      </c>
      <c r="U306" s="107" t="s">
        <v>111</v>
      </c>
      <c r="V306" s="107" t="s">
        <v>111</v>
      </c>
      <c r="W306" s="108" t="s">
        <v>111</v>
      </c>
    </row>
    <row r="307" spans="2:23" ht="15" thickBot="1" x14ac:dyDescent="0.4">
      <c r="B307" s="82" t="s">
        <v>217</v>
      </c>
      <c r="C307" s="83" t="s">
        <v>68</v>
      </c>
      <c r="D307" s="83" t="s">
        <v>107</v>
      </c>
      <c r="E307" s="98"/>
      <c r="F307" s="98"/>
      <c r="G307" s="100"/>
      <c r="H307" s="101"/>
      <c r="I307" s="101"/>
      <c r="J307" s="86" t="s">
        <v>112</v>
      </c>
      <c r="K307" s="88" t="str">
        <f>IFERROR(VLOOKUP($D307,$Y$9:$AB$10,2,FALSE)/IF($D307="Inhalation",IF($J307="Central Tendency",SUMIFS('Inhalation Exposure_Short-Term'!$F$7:$F$397,'Inhalation Exposure_Short-Term'!$B$7:$B$397,$B307,'Inhalation Exposure_Short-Term'!$D$7:$D$397,$C307),SUMIFS('Inhalation Exposure_Short-Term'!$G$7:$G$397,'Inhalation Exposure_Short-Term'!$B$7:$B$397,$B307,'Inhalation Exposure_Short-Term'!$D$7:$D$397,$C307)),IF($J307="Central Tendency",VLOOKUP($B307,'Dermal Exposure'!$A$6:$L$19,9,FALSE),VLOOKUP($B307,'Dermal Exposure'!$A$6:$L$19,4,FALSE))),"--")</f>
        <v>--</v>
      </c>
      <c r="L307" s="88">
        <f>IFERROR(VLOOKUP($D307,$Y$9:$AB$10,2,FALSE)/IF($D307="Inhalation",IF($J307="Central Tendency",SUMIFS('Inhalation Exposure_8-hr'!$H$6:$H$411,'Inhalation Exposure_8-hr'!$B$6:$B$411,$B307,'Inhalation Exposure_8-hr'!$D$6:$D$411,$C307),SUMIFS('Inhalation Exposure_8-hr'!$I$6:$I$411,'Inhalation Exposure_8-hr'!$B$6:$B$411,$B307,'Inhalation Exposure_8-hr'!$D$6:$D$411,$C307)),IF($J307="Central Tendency",VLOOKUP($B307,'Dermal Exposure'!$A$6:$L$19,9,FALSE),VLOOKUP($B307,'Dermal Exposure'!$A$6:$L$19,4,FALSE))),"--")</f>
        <v>6895.3498710767335</v>
      </c>
      <c r="M307" s="88">
        <f>IFERROR(VLOOKUP($D307,$Y$9:$AB$10,3,FALSE)/IF($D307="Inhalation",IF($J307="Central Tendency",SUMIFS('Inhalation Exposure_8-hr'!$L$6:$L$411,'Inhalation Exposure_8-hr'!$B$6:$B$411,$B307,'Inhalation Exposure_8-hr'!$D$6:$D$411,$C307),SUMIFS('Inhalation Exposure_8-hr'!$M$6:$M$411,'Inhalation Exposure_8-hr'!$B$6:$B$411,$B307,'Inhalation Exposure_8-hr'!$D$6:$D$411,$C307)),IF($J307="Central Tendency",VLOOKUP($B307,'Dermal Exposure'!$A$6:$L$19,10,FALSE),VLOOKUP($B307,'Dermal Exposure'!$A$6:$L$19,5,FALSE))),"--")</f>
        <v>203.8751230631199</v>
      </c>
      <c r="N307" s="89">
        <f>IFERROR(VLOOKUP($D307,$Y$9:$AB$10,4,FALSE)/IF($D307="Inhalation",IF($J307="Central Tendency",SUMIFS('Inhalation Exposure_8-hr'!$N$6:$N$411,'Inhalation Exposure_8-hr'!$B$6:$B$411,$B307,'Inhalation Exposure_8-hr'!$D$6:$D$411,$C307),SUMIFS('Inhalation Exposure_8-hr'!$O$6:$O$411,'Inhalation Exposure_8-hr'!$B$6:$B$411,$B307,'Inhalation Exposure_8-hr'!$D$6:$D$411,$C307)),IF($J307="Central Tendency",VLOOKUP($B307,'Dermal Exposure'!$A$6:$L$19,11,FALSE),VLOOKUP($B307,'Dermal Exposure'!$A$6:$L$19,6,FALSE))),"--")</f>
        <v>218.28229842624708</v>
      </c>
      <c r="O307" s="91" t="str">
        <f>IFERROR(K307*T307, "--")</f>
        <v>--</v>
      </c>
      <c r="P307" s="91">
        <f>IFERROR(L307*U307, "--")</f>
        <v>68953.498710767337</v>
      </c>
      <c r="Q307" s="91">
        <f>IFERROR(M307*V307, "--")</f>
        <v>2038.751230631199</v>
      </c>
      <c r="R307" s="91">
        <f>IFERROR(N307*W307, "--")</f>
        <v>2182.822984262471</v>
      </c>
      <c r="T307" s="109">
        <v>10</v>
      </c>
      <c r="U307" s="110">
        <v>10</v>
      </c>
      <c r="V307" s="110">
        <v>10</v>
      </c>
      <c r="W307" s="111">
        <v>10</v>
      </c>
    </row>
    <row r="308" spans="2:23" ht="15" thickBot="1" x14ac:dyDescent="0.4">
      <c r="B308" s="82" t="s">
        <v>217</v>
      </c>
      <c r="C308" s="83" t="s">
        <v>68</v>
      </c>
      <c r="D308" s="83" t="s">
        <v>107</v>
      </c>
      <c r="E308" s="98"/>
      <c r="F308" s="98"/>
      <c r="G308" s="100"/>
      <c r="H308" s="101"/>
      <c r="I308" s="113"/>
      <c r="J308" s="113"/>
      <c r="K308" s="103"/>
      <c r="L308" s="103"/>
      <c r="M308" s="103"/>
      <c r="N308" s="104"/>
      <c r="O308" s="105" t="str">
        <f>CONCATENATE("(APF ",T307,")")</f>
        <v>(APF 10)</v>
      </c>
      <c r="P308" s="105" t="str">
        <f>CONCATENATE("(APF ",U307,")")</f>
        <v>(APF 10)</v>
      </c>
      <c r="Q308" s="105" t="str">
        <f>CONCATENATE("(APF ",V307,")")</f>
        <v>(APF 10)</v>
      </c>
      <c r="R308" s="105" t="str">
        <f>CONCATENATE("(APF ",W307,")")</f>
        <v>(APF 10)</v>
      </c>
      <c r="T308" s="114" t="s">
        <v>111</v>
      </c>
      <c r="U308" s="115" t="s">
        <v>111</v>
      </c>
      <c r="V308" s="115" t="s">
        <v>111</v>
      </c>
      <c r="W308" s="116" t="s">
        <v>111</v>
      </c>
    </row>
    <row r="309" spans="2:23" ht="15.75" customHeight="1" thickBot="1" x14ac:dyDescent="0.4">
      <c r="B309" s="82" t="s">
        <v>220</v>
      </c>
      <c r="C309" s="83" t="s">
        <v>68</v>
      </c>
      <c r="D309" s="83" t="s">
        <v>107</v>
      </c>
      <c r="E309" s="98"/>
      <c r="F309" s="98"/>
      <c r="G309" s="85" t="s">
        <v>221</v>
      </c>
      <c r="H309" s="86" t="s">
        <v>68</v>
      </c>
      <c r="I309" s="86" t="s">
        <v>110</v>
      </c>
      <c r="J309" s="86" t="s">
        <v>71</v>
      </c>
      <c r="K309" s="88" t="str">
        <f>IFERROR(VLOOKUP($D309,$Y$9:$AB$10,2,FALSE)/IF($D309="Inhalation",IF($J309="Central Tendency",SUMIFS('Inhalation Exposure_Short-Term'!$F$7:$F$397,'Inhalation Exposure_Short-Term'!$B$7:$B$397,$B309,'Inhalation Exposure_Short-Term'!$D$7:$D$397,$C309),SUMIFS('Inhalation Exposure_Short-Term'!$G$7:$G$397,'Inhalation Exposure_Short-Term'!$B$7:$B$397,$B309,'Inhalation Exposure_Short-Term'!$D$7:$D$397,$C309)),IF($J309="Central Tendency",VLOOKUP($B309,'Dermal Exposure'!$A$6:$L$19,9,FALSE),VLOOKUP($B309,'Dermal Exposure'!$A$6:$L$19,4,FALSE))),"--")</f>
        <v>--</v>
      </c>
      <c r="L309" s="88">
        <f>IFERROR(VLOOKUP($D309,$Y$9:$AB$10,2,FALSE)/IF($D309="Inhalation",IF($J309="Central Tendency",SUMIFS('Inhalation Exposure_8-hr'!$H$6:$H$411,'Inhalation Exposure_8-hr'!$B$6:$B$411,$B309,'Inhalation Exposure_8-hr'!$D$6:$D$411,$C309),SUMIFS('Inhalation Exposure_8-hr'!$I$6:$I$411,'Inhalation Exposure_8-hr'!$B$6:$B$411,$B309,'Inhalation Exposure_8-hr'!$D$6:$D$411,$C309)),IF($J309="Central Tendency",VLOOKUP($B309,'Dermal Exposure'!$A$6:$L$19,9,FALSE),VLOOKUP($B309,'Dermal Exposure'!$A$6:$L$19,4,FALSE))),"--")</f>
        <v>3894.7988522274354</v>
      </c>
      <c r="M309" s="88">
        <f>IFERROR(VLOOKUP($D309,$Y$9:$AB$10,3,FALSE)/IF($D309="Inhalation",IF($J309="Central Tendency",SUMIFS('Inhalation Exposure_8-hr'!$L$6:$L$411,'Inhalation Exposure_8-hr'!$B$6:$B$411,$B309,'Inhalation Exposure_8-hr'!$D$6:$D$411,$C309),SUMIFS('Inhalation Exposure_8-hr'!$M$6:$M$411,'Inhalation Exposure_8-hr'!$B$6:$B$411,$B309,'Inhalation Exposure_8-hr'!$D$6:$D$411,$C309)),IF($J309="Central Tendency",VLOOKUP($B309,'Dermal Exposure'!$A$6:$L$19,10,FALSE),VLOOKUP($B309,'Dermal Exposure'!$A$6:$L$19,5,FALSE))),"--")</f>
        <v>115.15769470012005</v>
      </c>
      <c r="N309" s="89">
        <f>IFERROR(VLOOKUP($D309,$Y$9:$AB$10,4,FALSE)/IF($D309="Inhalation",IF($J309="Central Tendency",SUMIFS('Inhalation Exposure_8-hr'!$N$6:$N$411,'Inhalation Exposure_8-hr'!$B$6:$B$411,$B309,'Inhalation Exposure_8-hr'!$D$6:$D$411,$C309),SUMIFS('Inhalation Exposure_8-hr'!$O$6:$O$411,'Inhalation Exposure_8-hr'!$B$6:$B$411,$B309,'Inhalation Exposure_8-hr'!$D$6:$D$411,$C309)),IF($J309="Central Tendency",VLOOKUP($B309,'Dermal Exposure'!$A$6:$L$19,11,FALSE),VLOOKUP($B309,'Dermal Exposure'!$A$6:$L$19,6,FALSE))),"--")</f>
        <v>123.29550512559517</v>
      </c>
      <c r="O309" s="91" t="str">
        <f>IFERROR(K309*T309, "--")</f>
        <v>--</v>
      </c>
      <c r="P309" s="91">
        <f>IFERROR(L309*U309, "--")</f>
        <v>38947.988522274354</v>
      </c>
      <c r="Q309" s="91">
        <f>IFERROR(M309*V309, "--")</f>
        <v>1151.5769470012006</v>
      </c>
      <c r="R309" s="91">
        <f>IFERROR(N309*W309, "--")</f>
        <v>1232.9550512559517</v>
      </c>
      <c r="T309" s="92">
        <v>10</v>
      </c>
      <c r="U309" s="93">
        <v>10</v>
      </c>
      <c r="V309" s="93">
        <v>10</v>
      </c>
      <c r="W309" s="94">
        <v>10</v>
      </c>
    </row>
    <row r="310" spans="2:23" ht="15" thickBot="1" x14ac:dyDescent="0.4">
      <c r="B310" s="82" t="s">
        <v>220</v>
      </c>
      <c r="C310" s="83" t="s">
        <v>68</v>
      </c>
      <c r="D310" s="83" t="s">
        <v>107</v>
      </c>
      <c r="E310" s="98"/>
      <c r="F310" s="98"/>
      <c r="G310" s="100"/>
      <c r="H310" s="101"/>
      <c r="I310" s="101"/>
      <c r="J310" s="113"/>
      <c r="K310" s="103"/>
      <c r="L310" s="103"/>
      <c r="M310" s="103"/>
      <c r="N310" s="104"/>
      <c r="O310" s="105" t="str">
        <f>CONCATENATE("(APF ",T309,")")</f>
        <v>(APF 10)</v>
      </c>
      <c r="P310" s="105" t="str">
        <f>CONCATENATE("(APF ",U309,")")</f>
        <v>(APF 10)</v>
      </c>
      <c r="Q310" s="105" t="str">
        <f>CONCATENATE("(APF ",V309,")")</f>
        <v>(APF 10)</v>
      </c>
      <c r="R310" s="105" t="str">
        <f>CONCATENATE("(APF ",W309,")")</f>
        <v>(APF 10)</v>
      </c>
      <c r="T310" s="106" t="s">
        <v>111</v>
      </c>
      <c r="U310" s="107" t="s">
        <v>111</v>
      </c>
      <c r="V310" s="107" t="s">
        <v>111</v>
      </c>
      <c r="W310" s="108" t="s">
        <v>111</v>
      </c>
    </row>
    <row r="311" spans="2:23" ht="15" thickBot="1" x14ac:dyDescent="0.4">
      <c r="B311" s="82" t="s">
        <v>220</v>
      </c>
      <c r="C311" s="83" t="s">
        <v>68</v>
      </c>
      <c r="D311" s="83" t="s">
        <v>107</v>
      </c>
      <c r="E311" s="98"/>
      <c r="F311" s="98"/>
      <c r="G311" s="100"/>
      <c r="H311" s="101"/>
      <c r="I311" s="101"/>
      <c r="J311" s="86" t="s">
        <v>112</v>
      </c>
      <c r="K311" s="88" t="str">
        <f>IFERROR(VLOOKUP($D311,$Y$9:$AB$10,2,FALSE)/IF($D311="Inhalation",IF($J311="Central Tendency",SUMIFS('Inhalation Exposure_Short-Term'!$F$7:$F$397,'Inhalation Exposure_Short-Term'!$B$7:$B$397,$B311,'Inhalation Exposure_Short-Term'!$D$7:$D$397,$C311),SUMIFS('Inhalation Exposure_Short-Term'!$G$7:$G$397,'Inhalation Exposure_Short-Term'!$B$7:$B$397,$B311,'Inhalation Exposure_Short-Term'!$D$7:$D$397,$C311)),IF($J311="Central Tendency",VLOOKUP($B311,'Dermal Exposure'!$A$6:$L$19,9,FALSE),VLOOKUP($B311,'Dermal Exposure'!$A$6:$L$19,4,FALSE))),"--")</f>
        <v>--</v>
      </c>
      <c r="L311" s="88">
        <f>IFERROR(VLOOKUP($D311,$Y$9:$AB$10,2,FALSE)/IF($D311="Inhalation",IF($J311="Central Tendency",SUMIFS('Inhalation Exposure_8-hr'!$H$6:$H$411,'Inhalation Exposure_8-hr'!$B$6:$B$411,$B311,'Inhalation Exposure_8-hr'!$D$6:$D$411,$C311),SUMIFS('Inhalation Exposure_8-hr'!$I$6:$I$411,'Inhalation Exposure_8-hr'!$B$6:$B$411,$B311,'Inhalation Exposure_8-hr'!$D$6:$D$411,$C311)),IF($J311="Central Tendency",VLOOKUP($B311,'Dermal Exposure'!$A$6:$L$19,9,FALSE),VLOOKUP($B311,'Dermal Exposure'!$A$6:$L$19,4,FALSE))),"--")</f>
        <v>113.16699815032379</v>
      </c>
      <c r="M311" s="88">
        <f>IFERROR(VLOOKUP($D311,$Y$9:$AB$10,3,FALSE)/IF($D311="Inhalation",IF($J311="Central Tendency",SUMIFS('Inhalation Exposure_8-hr'!$L$6:$L$411,'Inhalation Exposure_8-hr'!$B$6:$B$411,$B311,'Inhalation Exposure_8-hr'!$D$6:$D$411,$C311),SUMIFS('Inhalation Exposure_8-hr'!$M$6:$M$411,'Inhalation Exposure_8-hr'!$B$6:$B$411,$B311,'Inhalation Exposure_8-hr'!$D$6:$D$411,$C311)),IF($J311="Central Tendency",VLOOKUP($B311,'Dermal Exposure'!$A$6:$L$19,10,FALSE),VLOOKUP($B311,'Dermal Exposure'!$A$6:$L$19,5,FALSE))),"--")</f>
        <v>3.3460137782650854</v>
      </c>
      <c r="N311" s="89">
        <f>IFERROR(VLOOKUP($D311,$Y$9:$AB$10,4,FALSE)/IF($D311="Inhalation",IF($J311="Central Tendency",SUMIFS('Inhalation Exposure_8-hr'!$N$6:$N$411,'Inhalation Exposure_8-hr'!$B$6:$B$411,$B311,'Inhalation Exposure_8-hr'!$D$6:$D$411,$C311),SUMIFS('Inhalation Exposure_8-hr'!$O$6:$O$411,'Inhalation Exposure_8-hr'!$B$6:$B$411,$B311,'Inhalation Exposure_8-hr'!$D$6:$D$411,$C311)),IF($J311="Central Tendency",VLOOKUP($B311,'Dermal Exposure'!$A$6:$L$19,11,FALSE),VLOOKUP($B311,'Dermal Exposure'!$A$6:$L$19,6,FALSE))),"--")</f>
        <v>3.5824654185958167</v>
      </c>
      <c r="O311" s="91" t="str">
        <f>IFERROR(K311*T311, "--")</f>
        <v>--</v>
      </c>
      <c r="P311" s="91">
        <f>IFERROR(L311*U311, "--")</f>
        <v>1131.669981503238</v>
      </c>
      <c r="Q311" s="91">
        <f>IFERROR(M311*V311, "--")</f>
        <v>33.460137782650854</v>
      </c>
      <c r="R311" s="91">
        <f>IFERROR(N311*W311, "--")</f>
        <v>35.824654185958167</v>
      </c>
      <c r="T311" s="109">
        <v>10</v>
      </c>
      <c r="U311" s="110">
        <v>10</v>
      </c>
      <c r="V311" s="110">
        <v>10</v>
      </c>
      <c r="W311" s="111">
        <v>10</v>
      </c>
    </row>
    <row r="312" spans="2:23" ht="15" thickBot="1" x14ac:dyDescent="0.4">
      <c r="B312" s="82" t="s">
        <v>220</v>
      </c>
      <c r="C312" s="83" t="s">
        <v>68</v>
      </c>
      <c r="D312" s="83" t="s">
        <v>107</v>
      </c>
      <c r="E312" s="98"/>
      <c r="F312" s="98"/>
      <c r="G312" s="118"/>
      <c r="H312" s="101"/>
      <c r="I312" s="113"/>
      <c r="J312" s="113"/>
      <c r="K312" s="103"/>
      <c r="L312" s="103"/>
      <c r="M312" s="103"/>
      <c r="N312" s="104"/>
      <c r="O312" s="105" t="str">
        <f>CONCATENATE("(APF ",T311,")")</f>
        <v>(APF 10)</v>
      </c>
      <c r="P312" s="105" t="str">
        <f>CONCATENATE("(APF ",U311,")")</f>
        <v>(APF 10)</v>
      </c>
      <c r="Q312" s="105" t="str">
        <f>CONCATENATE("(APF ",V311,")")</f>
        <v>(APF 10)</v>
      </c>
      <c r="R312" s="105" t="str">
        <f>CONCATENATE("(APF ",W311,")")</f>
        <v>(APF 10)</v>
      </c>
      <c r="T312" s="125" t="s">
        <v>111</v>
      </c>
      <c r="U312" s="126" t="s">
        <v>111</v>
      </c>
      <c r="V312" s="126" t="s">
        <v>111</v>
      </c>
      <c r="W312" s="127" t="s">
        <v>111</v>
      </c>
    </row>
    <row r="313" spans="2:23" ht="15.75" customHeight="1" thickBot="1" x14ac:dyDescent="0.4">
      <c r="B313" s="82" t="s">
        <v>222</v>
      </c>
      <c r="C313" s="83" t="s">
        <v>68</v>
      </c>
      <c r="D313" s="83" t="s">
        <v>107</v>
      </c>
      <c r="E313" s="98"/>
      <c r="F313" s="98"/>
      <c r="G313" s="85" t="s">
        <v>223</v>
      </c>
      <c r="H313" s="86" t="s">
        <v>68</v>
      </c>
      <c r="I313" s="86" t="s">
        <v>110</v>
      </c>
      <c r="J313" s="86" t="s">
        <v>71</v>
      </c>
      <c r="K313" s="88" t="str">
        <f>IFERROR(VLOOKUP($D313,$Y$9:$AB$10,2,FALSE)/IF($D313="Inhalation",IF($J313="Central Tendency",SUMIFS('Inhalation Exposure_Short-Term'!$F$7:$F$397,'Inhalation Exposure_Short-Term'!$B$7:$B$397,$B313,'Inhalation Exposure_Short-Term'!$D$7:$D$397,$C313),SUMIFS('Inhalation Exposure_Short-Term'!$G$7:$G$397,'Inhalation Exposure_Short-Term'!$B$7:$B$397,$B313,'Inhalation Exposure_Short-Term'!$D$7:$D$397,$C313)),IF($J313="Central Tendency",VLOOKUP($B313,'Dermal Exposure'!$A$6:$L$19,9,FALSE),VLOOKUP($B313,'Dermal Exposure'!$A$6:$L$19,4,FALSE))),"--")</f>
        <v>--</v>
      </c>
      <c r="L313" s="88">
        <f>IFERROR(VLOOKUP($D313,$Y$9:$AB$10,2,FALSE)/IF($D313="Inhalation",IF($J313="Central Tendency",SUMIFS('Inhalation Exposure_8-hr'!$H$6:$H$411,'Inhalation Exposure_8-hr'!$B$6:$B$411,$B313,'Inhalation Exposure_8-hr'!$D$6:$D$411,$C313),SUMIFS('Inhalation Exposure_8-hr'!$I$6:$I$411,'Inhalation Exposure_8-hr'!$B$6:$B$411,$B313,'Inhalation Exposure_8-hr'!$D$6:$D$411,$C313)),IF($J313="Central Tendency",VLOOKUP($B313,'Dermal Exposure'!$A$6:$L$19,9,FALSE),VLOOKUP($B313,'Dermal Exposure'!$A$6:$L$19,4,FALSE))),"--")</f>
        <v>5380.8333664727652</v>
      </c>
      <c r="M313" s="88">
        <f>IFERROR(VLOOKUP($D313,$Y$9:$AB$10,3,FALSE)/IF($D313="Inhalation",IF($J313="Central Tendency",SUMIFS('Inhalation Exposure_8-hr'!$L$6:$L$411,'Inhalation Exposure_8-hr'!$B$6:$B$411,$B313,'Inhalation Exposure_8-hr'!$D$6:$D$411,$C313),SUMIFS('Inhalation Exposure_8-hr'!$M$6:$M$411,'Inhalation Exposure_8-hr'!$B$6:$B$411,$B313,'Inhalation Exposure_8-hr'!$D$6:$D$411,$C313)),IF($J313="Central Tendency",VLOOKUP($B313,'Dermal Exposure'!$A$6:$L$19,10,FALSE),VLOOKUP($B313,'Dermal Exposure'!$A$6:$L$19,5,FALSE))),"--")</f>
        <v>159.09534472983506</v>
      </c>
      <c r="N313" s="89">
        <f>IFERROR(VLOOKUP($D313,$Y$9:$AB$10,4,FALSE)/IF($D313="Inhalation",IF($J313="Central Tendency",SUMIFS('Inhalation Exposure_8-hr'!$N$6:$N$411,'Inhalation Exposure_8-hr'!$B$6:$B$411,$B313,'Inhalation Exposure_8-hr'!$D$6:$D$411,$C313),SUMIFS('Inhalation Exposure_8-hr'!$O$6:$O$411,'Inhalation Exposure_8-hr'!$B$6:$B$411,$B313,'Inhalation Exposure_8-hr'!$D$6:$D$411,$C313)),IF($J313="Central Tendency",VLOOKUP($B313,'Dermal Exposure'!$A$6:$L$19,11,FALSE),VLOOKUP($B313,'Dermal Exposure'!$A$6:$L$19,6,FALSE))),"--")</f>
        <v>170.33808242407676</v>
      </c>
      <c r="O313" s="91" t="str">
        <f>IFERROR(K313*T313, "--")</f>
        <v>--</v>
      </c>
      <c r="P313" s="91">
        <f>IFERROR(L313*U313, "--")</f>
        <v>53808.333664727652</v>
      </c>
      <c r="Q313" s="91">
        <f>IFERROR(M313*V313, "--")</f>
        <v>1590.9534472983505</v>
      </c>
      <c r="R313" s="91">
        <f>IFERROR(N313*W313, "--")</f>
        <v>1703.3808242407677</v>
      </c>
      <c r="T313" s="92">
        <v>10</v>
      </c>
      <c r="U313" s="93">
        <v>10</v>
      </c>
      <c r="V313" s="93">
        <v>10</v>
      </c>
      <c r="W313" s="94">
        <v>10</v>
      </c>
    </row>
    <row r="314" spans="2:23" ht="15" thickBot="1" x14ac:dyDescent="0.4">
      <c r="B314" s="82" t="s">
        <v>222</v>
      </c>
      <c r="C314" s="83" t="s">
        <v>68</v>
      </c>
      <c r="D314" s="83" t="s">
        <v>107</v>
      </c>
      <c r="E314" s="98"/>
      <c r="F314" s="98"/>
      <c r="G314" s="100"/>
      <c r="H314" s="101"/>
      <c r="I314" s="101"/>
      <c r="J314" s="113"/>
      <c r="K314" s="103"/>
      <c r="L314" s="103"/>
      <c r="M314" s="103"/>
      <c r="N314" s="104"/>
      <c r="O314" s="105" t="str">
        <f>CONCATENATE("(APF ",T313,")")</f>
        <v>(APF 10)</v>
      </c>
      <c r="P314" s="105" t="str">
        <f>CONCATENATE("(APF ",U313,")")</f>
        <v>(APF 10)</v>
      </c>
      <c r="Q314" s="105" t="str">
        <f>CONCATENATE("(APF ",V313,")")</f>
        <v>(APF 10)</v>
      </c>
      <c r="R314" s="105" t="str">
        <f>CONCATENATE("(APF ",W313,")")</f>
        <v>(APF 10)</v>
      </c>
      <c r="T314" s="106" t="s">
        <v>111</v>
      </c>
      <c r="U314" s="107" t="s">
        <v>111</v>
      </c>
      <c r="V314" s="107" t="s">
        <v>111</v>
      </c>
      <c r="W314" s="108" t="s">
        <v>111</v>
      </c>
    </row>
    <row r="315" spans="2:23" ht="15" thickBot="1" x14ac:dyDescent="0.4">
      <c r="B315" s="82" t="s">
        <v>222</v>
      </c>
      <c r="C315" s="83" t="s">
        <v>68</v>
      </c>
      <c r="D315" s="83" t="s">
        <v>107</v>
      </c>
      <c r="E315" s="98"/>
      <c r="F315" s="98"/>
      <c r="G315" s="100"/>
      <c r="H315" s="101"/>
      <c r="I315" s="101"/>
      <c r="J315" s="86" t="s">
        <v>112</v>
      </c>
      <c r="K315" s="88" t="str">
        <f>IFERROR(VLOOKUP($D315,$Y$9:$AB$10,2,FALSE)/IF($D315="Inhalation",IF($J315="Central Tendency",SUMIFS('Inhalation Exposure_Short-Term'!$F$7:$F$397,'Inhalation Exposure_Short-Term'!$B$7:$B$397,$B315,'Inhalation Exposure_Short-Term'!$D$7:$D$397,$C315),SUMIFS('Inhalation Exposure_Short-Term'!$G$7:$G$397,'Inhalation Exposure_Short-Term'!$B$7:$B$397,$B315,'Inhalation Exposure_Short-Term'!$D$7:$D$397,$C315)),IF($J315="Central Tendency",VLOOKUP($B315,'Dermal Exposure'!$A$6:$L$19,9,FALSE),VLOOKUP($B315,'Dermal Exposure'!$A$6:$L$19,4,FALSE))),"--")</f>
        <v>--</v>
      </c>
      <c r="L315" s="88">
        <f>IFERROR(VLOOKUP($D315,$Y$9:$AB$10,2,FALSE)/IF($D315="Inhalation",IF($J315="Central Tendency",SUMIFS('Inhalation Exposure_8-hr'!$H$6:$H$411,'Inhalation Exposure_8-hr'!$B$6:$B$411,$B315,'Inhalation Exposure_8-hr'!$D$6:$D$411,$C315),SUMIFS('Inhalation Exposure_8-hr'!$I$6:$I$411,'Inhalation Exposure_8-hr'!$B$6:$B$411,$B315,'Inhalation Exposure_8-hr'!$D$6:$D$411,$C315)),IF($J315="Central Tendency",VLOOKUP($B315,'Dermal Exposure'!$A$6:$L$19,9,FALSE),VLOOKUP($B315,'Dermal Exposure'!$A$6:$L$19,4,FALSE))),"--")</f>
        <v>2018.7977037216297</v>
      </c>
      <c r="M315" s="88">
        <f>IFERROR(VLOOKUP($D315,$Y$9:$AB$10,3,FALSE)/IF($D315="Inhalation",IF($J315="Central Tendency",SUMIFS('Inhalation Exposure_8-hr'!$L$6:$L$411,'Inhalation Exposure_8-hr'!$B$6:$B$411,$B315,'Inhalation Exposure_8-hr'!$D$6:$D$411,$C315),SUMIFS('Inhalation Exposure_8-hr'!$M$6:$M$411,'Inhalation Exposure_8-hr'!$B$6:$B$411,$B315,'Inhalation Exposure_8-hr'!$D$6:$D$411,$C315)),IF($J315="Central Tendency",VLOOKUP($B315,'Dermal Exposure'!$A$6:$L$19,10,FALSE),VLOOKUP($B315,'Dermal Exposure'!$A$6:$L$19,5,FALSE))),"--")</f>
        <v>59.689883469469414</v>
      </c>
      <c r="N315" s="89">
        <f>IFERROR(VLOOKUP($D315,$Y$9:$AB$10,4,FALSE)/IF($D315="Inhalation",IF($J315="Central Tendency",SUMIFS('Inhalation Exposure_8-hr'!$N$6:$N$411,'Inhalation Exposure_8-hr'!$B$6:$B$411,$B315,'Inhalation Exposure_8-hr'!$D$6:$D$411,$C315),SUMIFS('Inhalation Exposure_8-hr'!$O$6:$O$411,'Inhalation Exposure_8-hr'!$B$6:$B$411,$B315,'Inhalation Exposure_8-hr'!$D$6:$D$411,$C315)),IF($J315="Central Tendency",VLOOKUP($B315,'Dermal Exposure'!$A$6:$L$19,11,FALSE),VLOOKUP($B315,'Dermal Exposure'!$A$6:$L$19,6,FALSE))),"--")</f>
        <v>63.907968567978578</v>
      </c>
      <c r="O315" s="91" t="str">
        <f>IFERROR(K315*T315, "--")</f>
        <v>--</v>
      </c>
      <c r="P315" s="91">
        <f>IFERROR(L315*U315, "--")</f>
        <v>20187.977037216297</v>
      </c>
      <c r="Q315" s="91">
        <f>IFERROR(M315*V315, "--")</f>
        <v>596.89883469469419</v>
      </c>
      <c r="R315" s="91">
        <f>IFERROR(N315*W315, "--")</f>
        <v>3195.3984283989289</v>
      </c>
      <c r="T315" s="109">
        <v>10</v>
      </c>
      <c r="U315" s="110">
        <v>10</v>
      </c>
      <c r="V315" s="110">
        <v>10</v>
      </c>
      <c r="W315" s="111">
        <v>50</v>
      </c>
    </row>
    <row r="316" spans="2:23" ht="15" thickBot="1" x14ac:dyDescent="0.4">
      <c r="B316" s="82" t="s">
        <v>222</v>
      </c>
      <c r="C316" s="83" t="s">
        <v>68</v>
      </c>
      <c r="D316" s="83" t="s">
        <v>107</v>
      </c>
      <c r="E316" s="98"/>
      <c r="F316" s="98"/>
      <c r="G316" s="118"/>
      <c r="H316" s="101"/>
      <c r="I316" s="113"/>
      <c r="J316" s="113"/>
      <c r="K316" s="103"/>
      <c r="L316" s="103"/>
      <c r="M316" s="103"/>
      <c r="N316" s="104"/>
      <c r="O316" s="105" t="str">
        <f>CONCATENATE("(APF ",T315,")")</f>
        <v>(APF 10)</v>
      </c>
      <c r="P316" s="105" t="str">
        <f>CONCATENATE("(APF ",U315,")")</f>
        <v>(APF 10)</v>
      </c>
      <c r="Q316" s="105" t="str">
        <f>CONCATENATE("(APF ",V315,")")</f>
        <v>(APF 10)</v>
      </c>
      <c r="R316" s="105" t="str">
        <f>CONCATENATE("(APF ",W315,")")</f>
        <v>(APF 50)</v>
      </c>
      <c r="T316" s="114" t="s">
        <v>111</v>
      </c>
      <c r="U316" s="115" t="s">
        <v>111</v>
      </c>
      <c r="V316" s="115" t="s">
        <v>111</v>
      </c>
      <c r="W316" s="116" t="s">
        <v>111</v>
      </c>
    </row>
    <row r="317" spans="2:23" ht="15.75" customHeight="1" thickBot="1" x14ac:dyDescent="0.4">
      <c r="B317" s="82" t="s">
        <v>224</v>
      </c>
      <c r="C317" s="83" t="s">
        <v>80</v>
      </c>
      <c r="D317" s="83" t="s">
        <v>107</v>
      </c>
      <c r="E317" s="98"/>
      <c r="F317" s="98"/>
      <c r="G317" s="99" t="s">
        <v>531</v>
      </c>
      <c r="H317" s="86" t="s">
        <v>80</v>
      </c>
      <c r="I317" s="86" t="s">
        <v>110</v>
      </c>
      <c r="J317" s="86" t="s">
        <v>71</v>
      </c>
      <c r="K317" s="88" t="str">
        <f>IFERROR(VLOOKUP($D317,$Y$9:$AB$10,2,FALSE)/IF($D317="Inhalation",IF($J317="Central Tendency",SUMIFS('Inhalation Exposure_Short-Term'!$F$7:$F$397,'Inhalation Exposure_Short-Term'!$B$7:$B$397,$B317,'Inhalation Exposure_Short-Term'!$D$7:$D$397,$C317),SUMIFS('Inhalation Exposure_Short-Term'!$G$7:$G$397,'Inhalation Exposure_Short-Term'!$B$7:$B$397,$B317,'Inhalation Exposure_Short-Term'!$D$7:$D$397,$C317)),IF($J317="Central Tendency",VLOOKUP($B317,'Dermal Exposure'!$A$6:$L$19,9,FALSE),VLOOKUP($B317,'Dermal Exposure'!$A$6:$L$19,4,FALSE))),"--")</f>
        <v>--</v>
      </c>
      <c r="L317" s="88">
        <f>IFERROR(VLOOKUP($D317,$Y$9:$AB$10,2,FALSE)/IF($D317="Inhalation",IF($J317="Central Tendency",SUMIFS('Inhalation Exposure_8-hr'!$H$6:$H$411,'Inhalation Exposure_8-hr'!$B$6:$B$411,$B317,'Inhalation Exposure_8-hr'!$D$6:$D$411,$C317),SUMIFS('Inhalation Exposure_8-hr'!$I$6:$I$411,'Inhalation Exposure_8-hr'!$B$6:$B$411,$B317,'Inhalation Exposure_8-hr'!$D$6:$D$411,$C317)),IF($J317="Central Tendency",VLOOKUP($B317,'Dermal Exposure'!$A$6:$L$19,9,FALSE),VLOOKUP($B317,'Dermal Exposure'!$A$6:$L$19,4,FALSE))),"--")</f>
        <v>4225.0025781609729</v>
      </c>
      <c r="M317" s="88">
        <f>IFERROR(VLOOKUP($D317,$Y$9:$AB$10,3,FALSE)/IF($D317="Inhalation",IF($J317="Central Tendency",SUMIFS('Inhalation Exposure_8-hr'!$L$6:$L$411,'Inhalation Exposure_8-hr'!$B$6:$B$411,$B317,'Inhalation Exposure_8-hr'!$D$6:$D$411,$C317),SUMIFS('Inhalation Exposure_8-hr'!$M$6:$M$411,'Inhalation Exposure_8-hr'!$B$6:$B$411,$B317,'Inhalation Exposure_8-hr'!$D$6:$D$411,$C317)),IF($J317="Central Tendency",VLOOKUP($B317,'Dermal Exposure'!$A$6:$L$19,10,FALSE),VLOOKUP($B317,'Dermal Exposure'!$A$6:$L$19,5,FALSE))),"--")</f>
        <v>124.92084327405722</v>
      </c>
      <c r="N317" s="89">
        <f>IFERROR(VLOOKUP($D317,$Y$9:$AB$10,4,FALSE)/IF($D317="Inhalation",IF($J317="Central Tendency",SUMIFS('Inhalation Exposure_8-hr'!$N$6:$N$411,'Inhalation Exposure_8-hr'!$B$6:$B$411,$B317,'Inhalation Exposure_8-hr'!$D$6:$D$411,$C317),SUMIFS('Inhalation Exposure_8-hr'!$O$6:$O$411,'Inhalation Exposure_8-hr'!$B$6:$B$411,$B317,'Inhalation Exposure_8-hr'!$D$6:$D$411,$C317)),IF($J317="Central Tendency",VLOOKUP($B317,'Dermal Exposure'!$A$6:$L$19,11,FALSE),VLOOKUP($B317,'Dermal Exposure'!$A$6:$L$19,6,FALSE))),"--")</f>
        <v>133.74858286542391</v>
      </c>
      <c r="O317" s="91" t="str">
        <f>IFERROR(K317*T317, "--")</f>
        <v>--</v>
      </c>
      <c r="P317" s="91">
        <f>IFERROR(L317*U317, "--")</f>
        <v>42250.025781609729</v>
      </c>
      <c r="Q317" s="91">
        <f>IFERROR(M317*V317, "--")</f>
        <v>1249.2084327405721</v>
      </c>
      <c r="R317" s="91">
        <f>IFERROR(N317*W317, "--")</f>
        <v>1337.4858286542392</v>
      </c>
      <c r="T317" s="92">
        <v>10</v>
      </c>
      <c r="U317" s="93">
        <v>10</v>
      </c>
      <c r="V317" s="93">
        <v>10</v>
      </c>
      <c r="W317" s="94">
        <v>10</v>
      </c>
    </row>
    <row r="318" spans="2:23" ht="15" thickBot="1" x14ac:dyDescent="0.4">
      <c r="B318" s="82" t="s">
        <v>224</v>
      </c>
      <c r="C318" s="83" t="s">
        <v>80</v>
      </c>
      <c r="D318" s="83" t="s">
        <v>107</v>
      </c>
      <c r="E318" s="98"/>
      <c r="F318" s="98"/>
      <c r="G318" s="100"/>
      <c r="H318" s="101"/>
      <c r="I318" s="101"/>
      <c r="J318" s="113"/>
      <c r="K318" s="103"/>
      <c r="L318" s="103"/>
      <c r="M318" s="103"/>
      <c r="N318" s="104"/>
      <c r="O318" s="105" t="str">
        <f>CONCATENATE("(APF ",T317,")")</f>
        <v>(APF 10)</v>
      </c>
      <c r="P318" s="105" t="str">
        <f>CONCATENATE("(APF ",U317,")")</f>
        <v>(APF 10)</v>
      </c>
      <c r="Q318" s="105" t="str">
        <f>CONCATENATE("(APF ",V317,")")</f>
        <v>(APF 10)</v>
      </c>
      <c r="R318" s="105" t="str">
        <f>CONCATENATE("(APF ",W317,")")</f>
        <v>(APF 10)</v>
      </c>
      <c r="T318" s="106" t="s">
        <v>111</v>
      </c>
      <c r="U318" s="107" t="s">
        <v>111</v>
      </c>
      <c r="V318" s="107" t="s">
        <v>111</v>
      </c>
      <c r="W318" s="108" t="s">
        <v>111</v>
      </c>
    </row>
    <row r="319" spans="2:23" ht="15" thickBot="1" x14ac:dyDescent="0.4">
      <c r="B319" s="82" t="s">
        <v>224</v>
      </c>
      <c r="C319" s="83" t="s">
        <v>80</v>
      </c>
      <c r="D319" s="83" t="s">
        <v>107</v>
      </c>
      <c r="E319" s="98"/>
      <c r="F319" s="98"/>
      <c r="G319" s="100"/>
      <c r="H319" s="101"/>
      <c r="I319" s="101"/>
      <c r="J319" s="86" t="s">
        <v>112</v>
      </c>
      <c r="K319" s="88" t="str">
        <f>IFERROR(VLOOKUP($D319,$Y$9:$AB$10,2,FALSE)/IF($D319="Inhalation",IF($J319="Central Tendency",SUMIFS('Inhalation Exposure_Short-Term'!$F$7:$F$397,'Inhalation Exposure_Short-Term'!$B$7:$B$397,$B319,'Inhalation Exposure_Short-Term'!$D$7:$D$397,$C319),SUMIFS('Inhalation Exposure_Short-Term'!$G$7:$G$397,'Inhalation Exposure_Short-Term'!$B$7:$B$397,$B319,'Inhalation Exposure_Short-Term'!$D$7:$D$397,$C319)),IF($J319="Central Tendency",VLOOKUP($B319,'Dermal Exposure'!$A$6:$L$19,9,FALSE),VLOOKUP($B319,'Dermal Exposure'!$A$6:$L$19,4,FALSE))),"--")</f>
        <v>--</v>
      </c>
      <c r="L319" s="88">
        <f>IFERROR(VLOOKUP($D319,$Y$9:$AB$10,2,FALSE)/IF($D319="Inhalation",IF($J319="Central Tendency",SUMIFS('Inhalation Exposure_8-hr'!$H$6:$H$411,'Inhalation Exposure_8-hr'!$B$6:$B$411,$B319,'Inhalation Exposure_8-hr'!$D$6:$D$411,$C319),SUMIFS('Inhalation Exposure_8-hr'!$I$6:$I$411,'Inhalation Exposure_8-hr'!$B$6:$B$411,$B319,'Inhalation Exposure_8-hr'!$D$6:$D$411,$C319)),IF($J319="Central Tendency",VLOOKUP($B319,'Dermal Exposure'!$A$6:$L$19,9,FALSE),VLOOKUP($B319,'Dermal Exposure'!$A$6:$L$19,4,FALSE))),"--")</f>
        <v>4225.0025781609729</v>
      </c>
      <c r="M319" s="88">
        <f>IFERROR(VLOOKUP($D319,$Y$9:$AB$10,3,FALSE)/IF($D319="Inhalation",IF($J319="Central Tendency",SUMIFS('Inhalation Exposure_8-hr'!$L$6:$L$411,'Inhalation Exposure_8-hr'!$B$6:$B$411,$B319,'Inhalation Exposure_8-hr'!$D$6:$D$411,$C319),SUMIFS('Inhalation Exposure_8-hr'!$M$6:$M$411,'Inhalation Exposure_8-hr'!$B$6:$B$411,$B319,'Inhalation Exposure_8-hr'!$D$6:$D$411,$C319)),IF($J319="Central Tendency",VLOOKUP($B319,'Dermal Exposure'!$A$6:$L$19,10,FALSE),VLOOKUP($B319,'Dermal Exposure'!$A$6:$L$19,5,FALSE))),"--")</f>
        <v>124.92084327405722</v>
      </c>
      <c r="N319" s="89">
        <f>IFERROR(VLOOKUP($D319,$Y$9:$AB$10,4,FALSE)/IF($D319="Inhalation",IF($J319="Central Tendency",SUMIFS('Inhalation Exposure_8-hr'!$N$6:$N$411,'Inhalation Exposure_8-hr'!$B$6:$B$411,$B319,'Inhalation Exposure_8-hr'!$D$6:$D$411,$C319),SUMIFS('Inhalation Exposure_8-hr'!$O$6:$O$411,'Inhalation Exposure_8-hr'!$B$6:$B$411,$B319,'Inhalation Exposure_8-hr'!$D$6:$D$411,$C319)),IF($J319="Central Tendency",VLOOKUP($B319,'Dermal Exposure'!$A$6:$L$19,11,FALSE),VLOOKUP($B319,'Dermal Exposure'!$A$6:$L$19,6,FALSE))),"--")</f>
        <v>133.74858286542394</v>
      </c>
      <c r="O319" s="91" t="str">
        <f>IFERROR(K319*T319, "--")</f>
        <v>--</v>
      </c>
      <c r="P319" s="91">
        <f>IFERROR(L319*U319, "--")</f>
        <v>42250.025781609729</v>
      </c>
      <c r="Q319" s="91">
        <f>IFERROR(M319*V319, "--")</f>
        <v>1249.2084327405721</v>
      </c>
      <c r="R319" s="91">
        <f>IFERROR(N319*W319, "--")</f>
        <v>1337.4858286542394</v>
      </c>
      <c r="T319" s="109">
        <v>10</v>
      </c>
      <c r="U319" s="110">
        <v>10</v>
      </c>
      <c r="V319" s="110">
        <v>10</v>
      </c>
      <c r="W319" s="111">
        <v>10</v>
      </c>
    </row>
    <row r="320" spans="2:23" ht="15" thickBot="1" x14ac:dyDescent="0.4">
      <c r="B320" s="82" t="s">
        <v>224</v>
      </c>
      <c r="C320" s="83" t="s">
        <v>80</v>
      </c>
      <c r="D320" s="83" t="s">
        <v>107</v>
      </c>
      <c r="E320" s="98"/>
      <c r="F320" s="98"/>
      <c r="G320" s="118"/>
      <c r="H320" s="113"/>
      <c r="I320" s="113"/>
      <c r="J320" s="113"/>
      <c r="K320" s="103"/>
      <c r="L320" s="103"/>
      <c r="M320" s="103"/>
      <c r="N320" s="104"/>
      <c r="O320" s="105" t="str">
        <f>CONCATENATE("(APF ",T319,")")</f>
        <v>(APF 10)</v>
      </c>
      <c r="P320" s="105" t="str">
        <f>CONCATENATE("(APF ",U319,")")</f>
        <v>(APF 10)</v>
      </c>
      <c r="Q320" s="105" t="str">
        <f>CONCATENATE("(APF ",V319,")")</f>
        <v>(APF 10)</v>
      </c>
      <c r="R320" s="105" t="str">
        <f>CONCATENATE("(APF ",W319,")")</f>
        <v>(APF 10)</v>
      </c>
      <c r="T320" s="125" t="s">
        <v>111</v>
      </c>
      <c r="U320" s="126" t="s">
        <v>111</v>
      </c>
      <c r="V320" s="126" t="s">
        <v>111</v>
      </c>
      <c r="W320" s="127" t="s">
        <v>111</v>
      </c>
    </row>
    <row r="321" spans="2:23" ht="15.75" customHeight="1" thickBot="1" x14ac:dyDescent="0.4">
      <c r="B321" s="82">
        <v>15</v>
      </c>
      <c r="C321" s="83" t="s">
        <v>68</v>
      </c>
      <c r="D321" s="83" t="s">
        <v>58</v>
      </c>
      <c r="E321" s="98"/>
      <c r="F321" s="98"/>
      <c r="G321" s="85" t="s">
        <v>226</v>
      </c>
      <c r="H321" s="86" t="s">
        <v>68</v>
      </c>
      <c r="I321" s="101" t="s">
        <v>58</v>
      </c>
      <c r="J321" s="86" t="s">
        <v>71</v>
      </c>
      <c r="K321" s="88" t="s">
        <v>86</v>
      </c>
      <c r="L321" s="88" t="s">
        <v>86</v>
      </c>
      <c r="M321" s="88">
        <f>IFERROR(VLOOKUP($D321,$Y$9:$AB$10,3,FALSE)/IF($D321="Inhalation",IF($J321="Central Tendency",SUMIFS('Inhalation Exposure_8-hr'!$L$6:$L$411,'Inhalation Exposure_8-hr'!$B$6:$B$411,$B321,'Inhalation Exposure_8-hr'!$D$6:$D$411,$C321),SUMIFS('Inhalation Exposure_8-hr'!$M$6:$M$411,'Inhalation Exposure_8-hr'!$B$6:$B$411,$B321,'Inhalation Exposure_8-hr'!$D$6:$D$411,$C321)),IF($J321="Central Tendency",VLOOKUP($B321,'Dermal Exposure'!$A$6:$L$19,5,FALSE),VLOOKUP($B321,'Dermal Exposure'!$A$6:$L$19,10,FALSE))),"--")</f>
        <v>764.51991071074724</v>
      </c>
      <c r="N321" s="89">
        <f>IFERROR(VLOOKUP($D321,$Y$9:$AB$10,4,FALSE)/IF($D321="Inhalation",IF($J321="Central Tendency",SUMIFS('Inhalation Exposure_8-hr'!$N$6:$N$411,'Inhalation Exposure_8-hr'!$B$6:$B$411,$B321,'Inhalation Exposure_8-hr'!$D$6:$D$411,$C321),SUMIFS('Inhalation Exposure_8-hr'!$O$6:$O$411,'Inhalation Exposure_8-hr'!$B$6:$B$411,$B321,'Inhalation Exposure_8-hr'!$D$6:$D$411,$C321)),IF($J321="Central Tendency",VLOOKUP($B321,'Dermal Exposure'!$A$6:$L$19,6,FALSE),VLOOKUP($B321,'Dermal Exposure'!$A$6:$L$19,11,FALSE))),"--")</f>
        <v>818.54598440097345</v>
      </c>
      <c r="O321" s="91" t="str">
        <f>IFERROR(K321*T321, "--")</f>
        <v>--</v>
      </c>
      <c r="P321" s="91" t="str">
        <f>IFERROR(L321*U321, "--")</f>
        <v>--</v>
      </c>
      <c r="Q321" s="91">
        <f>IFERROR(M321*V321, "--")</f>
        <v>3822.5995535537363</v>
      </c>
      <c r="R321" s="91">
        <f>IFERROR(N321*W321, "--")</f>
        <v>4092.7299220048671</v>
      </c>
      <c r="T321" s="92">
        <v>5</v>
      </c>
      <c r="U321" s="93">
        <v>5</v>
      </c>
      <c r="V321" s="93">
        <v>5</v>
      </c>
      <c r="W321" s="94">
        <v>5</v>
      </c>
    </row>
    <row r="322" spans="2:23" ht="15" thickBot="1" x14ac:dyDescent="0.4">
      <c r="B322" s="82">
        <v>15</v>
      </c>
      <c r="C322" s="83" t="s">
        <v>68</v>
      </c>
      <c r="D322" s="83" t="s">
        <v>58</v>
      </c>
      <c r="E322" s="98"/>
      <c r="F322" s="98"/>
      <c r="G322" s="99"/>
      <c r="H322" s="101"/>
      <c r="I322" s="101"/>
      <c r="J322" s="113"/>
      <c r="K322" s="103"/>
      <c r="L322" s="103"/>
      <c r="M322" s="103"/>
      <c r="N322" s="104"/>
      <c r="O322" s="105" t="str">
        <f>CONCATENATE("(PF ",T321,")")</f>
        <v>(PF 5)</v>
      </c>
      <c r="P322" s="105" t="str">
        <f>CONCATENATE("(PF ",U321,")")</f>
        <v>(PF 5)</v>
      </c>
      <c r="Q322" s="105" t="str">
        <f>CONCATENATE("(PF ",V321,")")</f>
        <v>(PF 5)</v>
      </c>
      <c r="R322" s="105" t="str">
        <f>CONCATENATE("(PF ",W321,")")</f>
        <v>(PF 5)</v>
      </c>
      <c r="T322" s="106" t="s">
        <v>118</v>
      </c>
      <c r="U322" s="107" t="s">
        <v>118</v>
      </c>
      <c r="V322" s="107" t="s">
        <v>118</v>
      </c>
      <c r="W322" s="108" t="s">
        <v>118</v>
      </c>
    </row>
    <row r="323" spans="2:23" ht="15" thickBot="1" x14ac:dyDescent="0.4">
      <c r="B323" s="82">
        <v>15</v>
      </c>
      <c r="C323" s="83" t="s">
        <v>68</v>
      </c>
      <c r="D323" s="83" t="s">
        <v>58</v>
      </c>
      <c r="E323" s="98"/>
      <c r="F323" s="98"/>
      <c r="G323" s="99"/>
      <c r="H323" s="101"/>
      <c r="I323" s="101"/>
      <c r="J323" s="86" t="s">
        <v>112</v>
      </c>
      <c r="K323" s="88" t="s">
        <v>86</v>
      </c>
      <c r="L323" s="88" t="s">
        <v>86</v>
      </c>
      <c r="M323" s="88">
        <f>IFERROR(VLOOKUP($D323,$Y$9:$AB$10,3,FALSE)/IF($D323="Inhalation",IF($J323="Central Tendency",SUMIFS('Inhalation Exposure_8-hr'!$L$6:$L$411,'Inhalation Exposure_8-hr'!$B$6:$B$411,$B323,'Inhalation Exposure_8-hr'!$D$6:$D$411,$C323),SUMIFS('Inhalation Exposure_8-hr'!$M$6:$M$411,'Inhalation Exposure_8-hr'!$B$6:$B$411,$B323,'Inhalation Exposure_8-hr'!$D$6:$D$411,$C323)),IF($J323="Central Tendency",VLOOKUP($B323,'Dermal Exposure'!$A$6:$L$19,5,FALSE),VLOOKUP($B323,'Dermal Exposure'!$A$6:$L$19,10,FALSE))),"--")</f>
        <v>169.12139247748647</v>
      </c>
      <c r="N323" s="89">
        <f>IFERROR(VLOOKUP($D323,$Y$9:$AB$10,4,FALSE)/IF($D323="Inhalation",IF($J323="Central Tendency",SUMIFS('Inhalation Exposure_8-hr'!$N$6:$N$411,'Inhalation Exposure_8-hr'!$B$6:$B$411,$B323,'Inhalation Exposure_8-hr'!$D$6:$D$411,$C323),SUMIFS('Inhalation Exposure_8-hr'!$O$6:$O$411,'Inhalation Exposure_8-hr'!$B$6:$B$411,$B323,'Inhalation Exposure_8-hr'!$D$6:$D$411,$C323)),IF($J323="Central Tendency",VLOOKUP($B323,'Dermal Exposure'!$A$6:$L$19,6,FALSE),VLOOKUP($B323,'Dermal Exposure'!$A$6:$L$19,11,FALSE))),"--")</f>
        <v>181.0726375458955</v>
      </c>
      <c r="O323" s="91" t="str">
        <f>IFERROR(K323*T323, "--")</f>
        <v>--</v>
      </c>
      <c r="P323" s="91" t="str">
        <f>IFERROR(L323*U323, "--")</f>
        <v>--</v>
      </c>
      <c r="Q323" s="91">
        <f>IFERROR(M323*V323, "--")</f>
        <v>845.6069623874323</v>
      </c>
      <c r="R323" s="91">
        <f>IFERROR(N323*W323, "--")</f>
        <v>905.36318772947754</v>
      </c>
      <c r="T323" s="109">
        <v>5</v>
      </c>
      <c r="U323" s="110">
        <v>5</v>
      </c>
      <c r="V323" s="110">
        <v>5</v>
      </c>
      <c r="W323" s="111">
        <v>5</v>
      </c>
    </row>
    <row r="324" spans="2:23" ht="15" thickBot="1" x14ac:dyDescent="0.4">
      <c r="B324" s="82">
        <v>15</v>
      </c>
      <c r="C324" s="83" t="s">
        <v>68</v>
      </c>
      <c r="D324" s="83" t="s">
        <v>58</v>
      </c>
      <c r="E324" s="128"/>
      <c r="F324" s="128"/>
      <c r="G324" s="112"/>
      <c r="H324" s="113"/>
      <c r="I324" s="113"/>
      <c r="J324" s="113"/>
      <c r="K324" s="103"/>
      <c r="L324" s="103"/>
      <c r="M324" s="103"/>
      <c r="N324" s="104"/>
      <c r="O324" s="105" t="str">
        <f>CONCATENATE("(PF ",T323,")")</f>
        <v>(PF 5)</v>
      </c>
      <c r="P324" s="105" t="str">
        <f>CONCATENATE("(PF ",U323,")")</f>
        <v>(PF 5)</v>
      </c>
      <c r="Q324" s="105" t="str">
        <f>CONCATENATE("(PF ",V323,")")</f>
        <v>(PF 5)</v>
      </c>
      <c r="R324" s="105" t="str">
        <f>CONCATENATE("(PF ",W323,")")</f>
        <v>(PF 5)</v>
      </c>
      <c r="T324" s="114" t="s">
        <v>118</v>
      </c>
      <c r="U324" s="115" t="s">
        <v>118</v>
      </c>
      <c r="V324" s="115" t="s">
        <v>118</v>
      </c>
      <c r="W324" s="116" t="s">
        <v>118</v>
      </c>
    </row>
  </sheetData>
  <sheetProtection sheet="1" objects="1" scenarios="1" formatCells="0" formatColumns="0" formatRows="0" sort="0" autoFilter="0"/>
  <autoFilter ref="A1:AC324" xr:uid="{CB24E7FE-9D99-4B66-A2F9-D57F9F4A70CF}">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autoFilter>
  <mergeCells count="1035">
    <mergeCell ref="K319:K320"/>
    <mergeCell ref="L319:L320"/>
    <mergeCell ref="M319:M320"/>
    <mergeCell ref="N319:N320"/>
    <mergeCell ref="I317:I320"/>
    <mergeCell ref="J317:J318"/>
    <mergeCell ref="K317:K318"/>
    <mergeCell ref="L317:L318"/>
    <mergeCell ref="M317:M318"/>
    <mergeCell ref="N317:N318"/>
    <mergeCell ref="J319:J320"/>
    <mergeCell ref="G161:G164"/>
    <mergeCell ref="I161:I164"/>
    <mergeCell ref="J161:J162"/>
    <mergeCell ref="K161:K162"/>
    <mergeCell ref="L161:L162"/>
    <mergeCell ref="M161:M162"/>
    <mergeCell ref="N161:N162"/>
    <mergeCell ref="J163:J164"/>
    <mergeCell ref="K313:K314"/>
    <mergeCell ref="K315:K316"/>
    <mergeCell ref="I165:I168"/>
    <mergeCell ref="J165:J166"/>
    <mergeCell ref="J177:J178"/>
    <mergeCell ref="M177:M178"/>
    <mergeCell ref="N177:N178"/>
    <mergeCell ref="J179:J180"/>
    <mergeCell ref="M179:M180"/>
    <mergeCell ref="G185:G188"/>
    <mergeCell ref="I185:I188"/>
    <mergeCell ref="N313:N314"/>
    <mergeCell ref="J315:J316"/>
    <mergeCell ref="M315:M316"/>
    <mergeCell ref="N315:N316"/>
    <mergeCell ref="K233:K234"/>
    <mergeCell ref="K235:K236"/>
    <mergeCell ref="M235:M236"/>
    <mergeCell ref="N239:N240"/>
    <mergeCell ref="M247:M248"/>
    <mergeCell ref="N247:N248"/>
    <mergeCell ref="K245:K246"/>
    <mergeCell ref="H245:H248"/>
    <mergeCell ref="H249:H260"/>
    <mergeCell ref="H261:H264"/>
    <mergeCell ref="H265:H268"/>
    <mergeCell ref="H269:H272"/>
    <mergeCell ref="H273:H276"/>
    <mergeCell ref="H277:H280"/>
    <mergeCell ref="H281:H284"/>
    <mergeCell ref="H285:H288"/>
    <mergeCell ref="H289:H292"/>
    <mergeCell ref="J267:J268"/>
    <mergeCell ref="J271:J272"/>
    <mergeCell ref="J249:J250"/>
    <mergeCell ref="I277:I280"/>
    <mergeCell ref="J251:J252"/>
    <mergeCell ref="I269:I272"/>
    <mergeCell ref="N273:N274"/>
    <mergeCell ref="K275:K276"/>
    <mergeCell ref="L275:L276"/>
    <mergeCell ref="M275:M276"/>
    <mergeCell ref="N275:N276"/>
    <mergeCell ref="K273:K274"/>
    <mergeCell ref="N235:N236"/>
    <mergeCell ref="K309:K310"/>
    <mergeCell ref="L309:L310"/>
    <mergeCell ref="M309:M310"/>
    <mergeCell ref="N309:N310"/>
    <mergeCell ref="K281:K282"/>
    <mergeCell ref="K283:K284"/>
    <mergeCell ref="K289:K290"/>
    <mergeCell ref="K291:K292"/>
    <mergeCell ref="K85:K86"/>
    <mergeCell ref="K87:K88"/>
    <mergeCell ref="K89:K90"/>
    <mergeCell ref="K91:K92"/>
    <mergeCell ref="K93:K94"/>
    <mergeCell ref="K103:K104"/>
    <mergeCell ref="K105:K106"/>
    <mergeCell ref="K107:K108"/>
    <mergeCell ref="K109:K110"/>
    <mergeCell ref="K111:K112"/>
    <mergeCell ref="K113:K114"/>
    <mergeCell ref="K115:K116"/>
    <mergeCell ref="M273:M274"/>
    <mergeCell ref="L239:L240"/>
    <mergeCell ref="M111:M112"/>
    <mergeCell ref="N111:N112"/>
    <mergeCell ref="M113:M114"/>
    <mergeCell ref="K269:K270"/>
    <mergeCell ref="K271:K272"/>
    <mergeCell ref="K117:K118"/>
    <mergeCell ref="K249:K250"/>
    <mergeCell ref="K251:K252"/>
    <mergeCell ref="L185:L186"/>
    <mergeCell ref="M185:M186"/>
    <mergeCell ref="K279:K280"/>
    <mergeCell ref="K253:K254"/>
    <mergeCell ref="K255:K256"/>
    <mergeCell ref="K257:K258"/>
    <mergeCell ref="K259:K260"/>
    <mergeCell ref="K265:K266"/>
    <mergeCell ref="K193:K194"/>
    <mergeCell ref="K195:K196"/>
    <mergeCell ref="K201:K202"/>
    <mergeCell ref="K203:K204"/>
    <mergeCell ref="K209:K210"/>
    <mergeCell ref="K211:K212"/>
    <mergeCell ref="K159:K160"/>
    <mergeCell ref="K177:K178"/>
    <mergeCell ref="K179:K180"/>
    <mergeCell ref="K163:K164"/>
    <mergeCell ref="K81:K82"/>
    <mergeCell ref="K83:K84"/>
    <mergeCell ref="K181:K182"/>
    <mergeCell ref="K183:K184"/>
    <mergeCell ref="K189:K190"/>
    <mergeCell ref="K191:K192"/>
    <mergeCell ref="K119:K120"/>
    <mergeCell ref="K149:K150"/>
    <mergeCell ref="K151:K152"/>
    <mergeCell ref="K153:K154"/>
    <mergeCell ref="K155:K156"/>
    <mergeCell ref="N257:N258"/>
    <mergeCell ref="M259:M260"/>
    <mergeCell ref="N259:N260"/>
    <mergeCell ref="N145:N146"/>
    <mergeCell ref="N153:N154"/>
    <mergeCell ref="N147:N148"/>
    <mergeCell ref="N213:N214"/>
    <mergeCell ref="K205:K206"/>
    <mergeCell ref="L205:L206"/>
    <mergeCell ref="M205:M206"/>
    <mergeCell ref="N205:N206"/>
    <mergeCell ref="K207:K208"/>
    <mergeCell ref="L207:L208"/>
    <mergeCell ref="M207:M208"/>
    <mergeCell ref="N207:N208"/>
    <mergeCell ref="K197:K198"/>
    <mergeCell ref="L197:L198"/>
    <mergeCell ref="M197:M198"/>
    <mergeCell ref="M245:M246"/>
    <mergeCell ref="N225:N226"/>
    <mergeCell ref="K173:K174"/>
    <mergeCell ref="K121:K122"/>
    <mergeCell ref="K123:K124"/>
    <mergeCell ref="M125:M126"/>
    <mergeCell ref="J121:J122"/>
    <mergeCell ref="L121:L122"/>
    <mergeCell ref="L123:L124"/>
    <mergeCell ref="N119:N120"/>
    <mergeCell ref="N105:N106"/>
    <mergeCell ref="N109:N110"/>
    <mergeCell ref="N185:N186"/>
    <mergeCell ref="K187:K188"/>
    <mergeCell ref="L187:L188"/>
    <mergeCell ref="M187:M188"/>
    <mergeCell ref="N187:N188"/>
    <mergeCell ref="K221:K222"/>
    <mergeCell ref="L221:L222"/>
    <mergeCell ref="M221:M222"/>
    <mergeCell ref="N121:N122"/>
    <mergeCell ref="M151:M152"/>
    <mergeCell ref="N151:N152"/>
    <mergeCell ref="L125:L126"/>
    <mergeCell ref="N155:N156"/>
    <mergeCell ref="N125:N126"/>
    <mergeCell ref="J155:J156"/>
    <mergeCell ref="J145:J146"/>
    <mergeCell ref="J147:J148"/>
    <mergeCell ref="L213:L214"/>
    <mergeCell ref="L215:L216"/>
    <mergeCell ref="N197:N198"/>
    <mergeCell ref="N195:N196"/>
    <mergeCell ref="N167:N168"/>
    <mergeCell ref="J173:J174"/>
    <mergeCell ref="K25:K26"/>
    <mergeCell ref="K27:K28"/>
    <mergeCell ref="K29:K30"/>
    <mergeCell ref="K31:K32"/>
    <mergeCell ref="M27:M28"/>
    <mergeCell ref="N27:N28"/>
    <mergeCell ref="L25:L26"/>
    <mergeCell ref="L27:L28"/>
    <mergeCell ref="K19:K20"/>
    <mergeCell ref="J125:J126"/>
    <mergeCell ref="M105:M106"/>
    <mergeCell ref="N113:N114"/>
    <mergeCell ref="M115:M116"/>
    <mergeCell ref="N115:N116"/>
    <mergeCell ref="N123:N124"/>
    <mergeCell ref="M127:M128"/>
    <mergeCell ref="M119:M120"/>
    <mergeCell ref="L105:L106"/>
    <mergeCell ref="L107:L108"/>
    <mergeCell ref="L109:L110"/>
    <mergeCell ref="L111:L112"/>
    <mergeCell ref="L127:L128"/>
    <mergeCell ref="N127:N128"/>
    <mergeCell ref="N117:N118"/>
    <mergeCell ref="J105:J106"/>
    <mergeCell ref="J107:J108"/>
    <mergeCell ref="J109:J110"/>
    <mergeCell ref="J111:J112"/>
    <mergeCell ref="J113:J114"/>
    <mergeCell ref="J115:J116"/>
    <mergeCell ref="N107:N108"/>
    <mergeCell ref="M109:M110"/>
    <mergeCell ref="I17:I20"/>
    <mergeCell ref="I13:I16"/>
    <mergeCell ref="G9:G12"/>
    <mergeCell ref="G13:G16"/>
    <mergeCell ref="J21:J22"/>
    <mergeCell ref="J13:J14"/>
    <mergeCell ref="M13:M14"/>
    <mergeCell ref="N13:N14"/>
    <mergeCell ref="J15:J16"/>
    <mergeCell ref="M15:M16"/>
    <mergeCell ref="N15:N16"/>
    <mergeCell ref="J17:J18"/>
    <mergeCell ref="M17:M18"/>
    <mergeCell ref="N17:N18"/>
    <mergeCell ref="J19:J20"/>
    <mergeCell ref="N19:N20"/>
    <mergeCell ref="K9:K10"/>
    <mergeCell ref="K11:K12"/>
    <mergeCell ref="K13:K14"/>
    <mergeCell ref="K15:K16"/>
    <mergeCell ref="K17:K18"/>
    <mergeCell ref="N33:N34"/>
    <mergeCell ref="J25:J26"/>
    <mergeCell ref="M25:M26"/>
    <mergeCell ref="G33:G36"/>
    <mergeCell ref="G41:G44"/>
    <mergeCell ref="I41:I44"/>
    <mergeCell ref="N47:N48"/>
    <mergeCell ref="M55:M56"/>
    <mergeCell ref="L53:L54"/>
    <mergeCell ref="I77:I80"/>
    <mergeCell ref="G81:G84"/>
    <mergeCell ref="I53:I56"/>
    <mergeCell ref="I69:I72"/>
    <mergeCell ref="G53:G56"/>
    <mergeCell ref="G77:G80"/>
    <mergeCell ref="J83:J84"/>
    <mergeCell ref="J85:J86"/>
    <mergeCell ref="N83:N84"/>
    <mergeCell ref="J77:J78"/>
    <mergeCell ref="J79:J80"/>
    <mergeCell ref="N69:N70"/>
    <mergeCell ref="N71:N72"/>
    <mergeCell ref="J51:J52"/>
    <mergeCell ref="J41:J42"/>
    <mergeCell ref="J43:J44"/>
    <mergeCell ref="M47:M48"/>
    <mergeCell ref="M49:M50"/>
    <mergeCell ref="J75:J76"/>
    <mergeCell ref="J81:J82"/>
    <mergeCell ref="N35:N36"/>
    <mergeCell ref="G37:G40"/>
    <mergeCell ref="I37:I40"/>
    <mergeCell ref="N89:N90"/>
    <mergeCell ref="N37:N38"/>
    <mergeCell ref="N39:N40"/>
    <mergeCell ref="J87:J88"/>
    <mergeCell ref="M87:M88"/>
    <mergeCell ref="N87:N88"/>
    <mergeCell ref="J53:J54"/>
    <mergeCell ref="J55:J56"/>
    <mergeCell ref="J69:J70"/>
    <mergeCell ref="K39:K40"/>
    <mergeCell ref="J47:J48"/>
    <mergeCell ref="N85:N86"/>
    <mergeCell ref="N93:N94"/>
    <mergeCell ref="M95:M96"/>
    <mergeCell ref="N95:N96"/>
    <mergeCell ref="M89:M90"/>
    <mergeCell ref="N77:N78"/>
    <mergeCell ref="M79:M80"/>
    <mergeCell ref="K37:K38"/>
    <mergeCell ref="K69:K70"/>
    <mergeCell ref="N41:N42"/>
    <mergeCell ref="M43:M44"/>
    <mergeCell ref="J49:J50"/>
    <mergeCell ref="J71:J72"/>
    <mergeCell ref="M69:M70"/>
    <mergeCell ref="M71:M72"/>
    <mergeCell ref="M53:M54"/>
    <mergeCell ref="L57:L58"/>
    <mergeCell ref="L59:L60"/>
    <mergeCell ref="J37:J38"/>
    <mergeCell ref="M37:M38"/>
    <mergeCell ref="J39:J40"/>
    <mergeCell ref="A1:R1"/>
    <mergeCell ref="B7:B8"/>
    <mergeCell ref="C7:C8"/>
    <mergeCell ref="D7:D8"/>
    <mergeCell ref="E7:E8"/>
    <mergeCell ref="F7:F8"/>
    <mergeCell ref="G7:G8"/>
    <mergeCell ref="H7:H8"/>
    <mergeCell ref="I7:I8"/>
    <mergeCell ref="J7:J8"/>
    <mergeCell ref="O7:R7"/>
    <mergeCell ref="N21:N22"/>
    <mergeCell ref="M21:M22"/>
    <mergeCell ref="M11:M12"/>
    <mergeCell ref="G21:G24"/>
    <mergeCell ref="G17:G20"/>
    <mergeCell ref="M19:M20"/>
    <mergeCell ref="M23:M24"/>
    <mergeCell ref="J23:J24"/>
    <mergeCell ref="K3:R3"/>
    <mergeCell ref="K7:N7"/>
    <mergeCell ref="K21:K22"/>
    <mergeCell ref="K23:K24"/>
    <mergeCell ref="F9:F32"/>
    <mergeCell ref="H9:H24"/>
    <mergeCell ref="H25:H28"/>
    <mergeCell ref="H29:H32"/>
    <mergeCell ref="L29:L30"/>
    <mergeCell ref="L31:L32"/>
    <mergeCell ref="L23:L24"/>
    <mergeCell ref="G29:G32"/>
    <mergeCell ref="I21:I24"/>
    <mergeCell ref="E73:E96"/>
    <mergeCell ref="F73:F96"/>
    <mergeCell ref="L55:L56"/>
    <mergeCell ref="L15:L16"/>
    <mergeCell ref="L17:L18"/>
    <mergeCell ref="L19:L20"/>
    <mergeCell ref="M265:M266"/>
    <mergeCell ref="N265:N266"/>
    <mergeCell ref="M251:M252"/>
    <mergeCell ref="N251:N252"/>
    <mergeCell ref="G109:G112"/>
    <mergeCell ref="J127:J128"/>
    <mergeCell ref="J97:J98"/>
    <mergeCell ref="J93:J94"/>
    <mergeCell ref="M83:M84"/>
    <mergeCell ref="G85:G88"/>
    <mergeCell ref="N99:N100"/>
    <mergeCell ref="M29:M30"/>
    <mergeCell ref="M31:M32"/>
    <mergeCell ref="N31:N32"/>
    <mergeCell ref="M97:M98"/>
    <mergeCell ref="N97:N98"/>
    <mergeCell ref="N75:N76"/>
    <mergeCell ref="M75:M76"/>
    <mergeCell ref="N73:N74"/>
    <mergeCell ref="L117:L118"/>
    <mergeCell ref="L119:L120"/>
    <mergeCell ref="L113:L114"/>
    <mergeCell ref="H61:H64"/>
    <mergeCell ref="H65:H72"/>
    <mergeCell ref="H73:H84"/>
    <mergeCell ref="H89:H96"/>
    <mergeCell ref="G121:G124"/>
    <mergeCell ref="G125:G128"/>
    <mergeCell ref="J119:J120"/>
    <mergeCell ref="M101:M102"/>
    <mergeCell ref="G145:G148"/>
    <mergeCell ref="G149:G152"/>
    <mergeCell ref="T7:W7"/>
    <mergeCell ref="E9:E32"/>
    <mergeCell ref="I9:I12"/>
    <mergeCell ref="J9:J10"/>
    <mergeCell ref="N9:N10"/>
    <mergeCell ref="J11:J12"/>
    <mergeCell ref="N11:N12"/>
    <mergeCell ref="I29:I32"/>
    <mergeCell ref="J29:J30"/>
    <mergeCell ref="N29:N30"/>
    <mergeCell ref="J31:J32"/>
    <mergeCell ref="M9:M10"/>
    <mergeCell ref="N23:N24"/>
    <mergeCell ref="G25:G28"/>
    <mergeCell ref="I25:I28"/>
    <mergeCell ref="G93:G96"/>
    <mergeCell ref="I93:I96"/>
    <mergeCell ref="N25:N26"/>
    <mergeCell ref="J27:J28"/>
    <mergeCell ref="N101:N102"/>
    <mergeCell ref="N103:N104"/>
    <mergeCell ref="K95:K96"/>
    <mergeCell ref="K97:K98"/>
    <mergeCell ref="K99:K100"/>
    <mergeCell ref="K101:K102"/>
    <mergeCell ref="M77:M78"/>
    <mergeCell ref="M39:M40"/>
    <mergeCell ref="J35:J36"/>
    <mergeCell ref="M35:M36"/>
    <mergeCell ref="N57:N58"/>
    <mergeCell ref="J59:J60"/>
    <mergeCell ref="M59:M60"/>
    <mergeCell ref="N43:N44"/>
    <mergeCell ref="N49:N50"/>
    <mergeCell ref="M51:M52"/>
    <mergeCell ref="N51:N52"/>
    <mergeCell ref="N45:N46"/>
    <mergeCell ref="N53:N54"/>
    <mergeCell ref="N55:N56"/>
    <mergeCell ref="K53:K54"/>
    <mergeCell ref="K55:K56"/>
    <mergeCell ref="K57:K58"/>
    <mergeCell ref="K43:K44"/>
    <mergeCell ref="K45:K46"/>
    <mergeCell ref="K47:K48"/>
    <mergeCell ref="K35:K36"/>
    <mergeCell ref="N59:N60"/>
    <mergeCell ref="K41:K42"/>
    <mergeCell ref="L41:L42"/>
    <mergeCell ref="L43:L44"/>
    <mergeCell ref="K49:K50"/>
    <mergeCell ref="K51:K52"/>
    <mergeCell ref="L49:L50"/>
    <mergeCell ref="L51:L52"/>
    <mergeCell ref="M45:M46"/>
    <mergeCell ref="N63:N64"/>
    <mergeCell ref="N65:N66"/>
    <mergeCell ref="N67:N68"/>
    <mergeCell ref="J57:J58"/>
    <mergeCell ref="M57:M58"/>
    <mergeCell ref="K59:K60"/>
    <mergeCell ref="I89:I92"/>
    <mergeCell ref="J89:J90"/>
    <mergeCell ref="I97:I100"/>
    <mergeCell ref="I101:I104"/>
    <mergeCell ref="L97:L98"/>
    <mergeCell ref="L61:L62"/>
    <mergeCell ref="M61:M62"/>
    <mergeCell ref="N61:N62"/>
    <mergeCell ref="L63:L64"/>
    <mergeCell ref="N79:N80"/>
    <mergeCell ref="M81:M82"/>
    <mergeCell ref="N81:N82"/>
    <mergeCell ref="I73:I76"/>
    <mergeCell ref="J73:J74"/>
    <mergeCell ref="J91:J92"/>
    <mergeCell ref="M91:M92"/>
    <mergeCell ref="N91:N92"/>
    <mergeCell ref="I81:I84"/>
    <mergeCell ref="J101:J102"/>
    <mergeCell ref="J103:J104"/>
    <mergeCell ref="L81:L82"/>
    <mergeCell ref="L83:L84"/>
    <mergeCell ref="L85:L86"/>
    <mergeCell ref="L69:L70"/>
    <mergeCell ref="L71:L72"/>
    <mergeCell ref="M73:M74"/>
    <mergeCell ref="J95:J96"/>
    <mergeCell ref="G117:G120"/>
    <mergeCell ref="G105:G108"/>
    <mergeCell ref="I105:I108"/>
    <mergeCell ref="G97:G100"/>
    <mergeCell ref="G101:G104"/>
    <mergeCell ref="I85:I88"/>
    <mergeCell ref="L45:L46"/>
    <mergeCell ref="L47:L48"/>
    <mergeCell ref="M63:M64"/>
    <mergeCell ref="G65:G68"/>
    <mergeCell ref="I65:I68"/>
    <mergeCell ref="J65:J66"/>
    <mergeCell ref="K65:K66"/>
    <mergeCell ref="M65:M66"/>
    <mergeCell ref="J67:J68"/>
    <mergeCell ref="K67:K68"/>
    <mergeCell ref="M67:M68"/>
    <mergeCell ref="H53:H60"/>
    <mergeCell ref="G57:G60"/>
    <mergeCell ref="I57:I60"/>
    <mergeCell ref="G49:G52"/>
    <mergeCell ref="I49:I52"/>
    <mergeCell ref="L91:L92"/>
    <mergeCell ref="L65:L66"/>
    <mergeCell ref="L67:L68"/>
    <mergeCell ref="K71:K72"/>
    <mergeCell ref="K73:K74"/>
    <mergeCell ref="K75:K76"/>
    <mergeCell ref="K77:K78"/>
    <mergeCell ref="K79:K80"/>
    <mergeCell ref="M117:M118"/>
    <mergeCell ref="M93:M94"/>
    <mergeCell ref="G233:G236"/>
    <mergeCell ref="J255:J256"/>
    <mergeCell ref="M255:M256"/>
    <mergeCell ref="N255:N256"/>
    <mergeCell ref="I257:I260"/>
    <mergeCell ref="J257:J258"/>
    <mergeCell ref="I145:I148"/>
    <mergeCell ref="N249:N250"/>
    <mergeCell ref="M249:M250"/>
    <mergeCell ref="M267:M268"/>
    <mergeCell ref="L147:L148"/>
    <mergeCell ref="G249:G252"/>
    <mergeCell ref="I149:I152"/>
    <mergeCell ref="J149:J150"/>
    <mergeCell ref="J151:J152"/>
    <mergeCell ref="M107:M108"/>
    <mergeCell ref="L93:L94"/>
    <mergeCell ref="L95:L96"/>
    <mergeCell ref="L99:L100"/>
    <mergeCell ref="G221:G224"/>
    <mergeCell ref="H213:H224"/>
    <mergeCell ref="I221:I224"/>
    <mergeCell ref="N221:N222"/>
    <mergeCell ref="J223:J224"/>
    <mergeCell ref="J123:J124"/>
    <mergeCell ref="I109:I112"/>
    <mergeCell ref="I117:I120"/>
    <mergeCell ref="I153:I156"/>
    <mergeCell ref="J153:J154"/>
    <mergeCell ref="M99:M100"/>
    <mergeCell ref="N227:N228"/>
    <mergeCell ref="N271:N272"/>
    <mergeCell ref="M149:M150"/>
    <mergeCell ref="N149:N150"/>
    <mergeCell ref="L145:L146"/>
    <mergeCell ref="M271:M272"/>
    <mergeCell ref="N269:N270"/>
    <mergeCell ref="M181:M182"/>
    <mergeCell ref="N181:N182"/>
    <mergeCell ref="G181:G184"/>
    <mergeCell ref="J183:J184"/>
    <mergeCell ref="K217:K218"/>
    <mergeCell ref="K219:K220"/>
    <mergeCell ref="K225:K226"/>
    <mergeCell ref="K227:K228"/>
    <mergeCell ref="K229:K230"/>
    <mergeCell ref="G237:G240"/>
    <mergeCell ref="I237:I240"/>
    <mergeCell ref="G253:G256"/>
    <mergeCell ref="G153:G156"/>
    <mergeCell ref="G165:G168"/>
    <mergeCell ref="M155:M156"/>
    <mergeCell ref="I249:I252"/>
    <mergeCell ref="G257:G260"/>
    <mergeCell ref="G265:G268"/>
    <mergeCell ref="I253:I256"/>
    <mergeCell ref="J253:J254"/>
    <mergeCell ref="G245:G248"/>
    <mergeCell ref="I245:I248"/>
    <mergeCell ref="J245:J246"/>
    <mergeCell ref="J239:J240"/>
    <mergeCell ref="M239:M240"/>
    <mergeCell ref="J233:J234"/>
    <mergeCell ref="J235:J236"/>
    <mergeCell ref="I213:I216"/>
    <mergeCell ref="J273:J274"/>
    <mergeCell ref="M229:M230"/>
    <mergeCell ref="M231:M232"/>
    <mergeCell ref="I229:I232"/>
    <mergeCell ref="J229:J230"/>
    <mergeCell ref="J231:J232"/>
    <mergeCell ref="M217:M218"/>
    <mergeCell ref="M219:M220"/>
    <mergeCell ref="G225:G228"/>
    <mergeCell ref="G229:G232"/>
    <mergeCell ref="K213:K214"/>
    <mergeCell ref="K215:K216"/>
    <mergeCell ref="M237:M238"/>
    <mergeCell ref="L233:L234"/>
    <mergeCell ref="L235:L236"/>
    <mergeCell ref="L237:L238"/>
    <mergeCell ref="K237:K238"/>
    <mergeCell ref="I225:I228"/>
    <mergeCell ref="J225:J226"/>
    <mergeCell ref="M253:M254"/>
    <mergeCell ref="J227:J228"/>
    <mergeCell ref="M227:M228"/>
    <mergeCell ref="M233:M234"/>
    <mergeCell ref="K267:K268"/>
    <mergeCell ref="K247:K248"/>
    <mergeCell ref="G269:G280"/>
    <mergeCell ref="J269:J270"/>
    <mergeCell ref="J279:J280"/>
    <mergeCell ref="J275:J276"/>
    <mergeCell ref="N279:N280"/>
    <mergeCell ref="I217:I220"/>
    <mergeCell ref="J215:J216"/>
    <mergeCell ref="J217:J218"/>
    <mergeCell ref="J219:J220"/>
    <mergeCell ref="N229:N230"/>
    <mergeCell ref="N231:N232"/>
    <mergeCell ref="N217:N218"/>
    <mergeCell ref="N219:N220"/>
    <mergeCell ref="N237:N238"/>
    <mergeCell ref="N245:N246"/>
    <mergeCell ref="N233:N234"/>
    <mergeCell ref="K239:K240"/>
    <mergeCell ref="N267:N268"/>
    <mergeCell ref="J221:J222"/>
    <mergeCell ref="M257:M258"/>
    <mergeCell ref="N253:N254"/>
    <mergeCell ref="K277:K278"/>
    <mergeCell ref="I265:I268"/>
    <mergeCell ref="J259:J260"/>
    <mergeCell ref="J237:J238"/>
    <mergeCell ref="K231:K232"/>
    <mergeCell ref="K223:K224"/>
    <mergeCell ref="L223:L224"/>
    <mergeCell ref="M223:M224"/>
    <mergeCell ref="L249:L250"/>
    <mergeCell ref="M269:M270"/>
    <mergeCell ref="M279:M280"/>
    <mergeCell ref="M277:M278"/>
    <mergeCell ref="N277:N278"/>
    <mergeCell ref="J247:J248"/>
    <mergeCell ref="I233:I236"/>
    <mergeCell ref="J175:J176"/>
    <mergeCell ref="K175:K176"/>
    <mergeCell ref="M183:M184"/>
    <mergeCell ref="J193:J194"/>
    <mergeCell ref="M193:M194"/>
    <mergeCell ref="N189:N190"/>
    <mergeCell ref="J191:J192"/>
    <mergeCell ref="M191:M192"/>
    <mergeCell ref="N191:N192"/>
    <mergeCell ref="J189:J190"/>
    <mergeCell ref="M189:M190"/>
    <mergeCell ref="L181:L182"/>
    <mergeCell ref="L183:L184"/>
    <mergeCell ref="N183:N184"/>
    <mergeCell ref="N193:N194"/>
    <mergeCell ref="J185:J186"/>
    <mergeCell ref="J187:J188"/>
    <mergeCell ref="K185:K186"/>
    <mergeCell ref="N321:N322"/>
    <mergeCell ref="M323:M324"/>
    <mergeCell ref="N323:N324"/>
    <mergeCell ref="I321:I324"/>
    <mergeCell ref="J321:J322"/>
    <mergeCell ref="I289:I292"/>
    <mergeCell ref="J289:J290"/>
    <mergeCell ref="N289:N290"/>
    <mergeCell ref="N291:N292"/>
    <mergeCell ref="I305:I308"/>
    <mergeCell ref="J305:J306"/>
    <mergeCell ref="M305:M306"/>
    <mergeCell ref="N305:N306"/>
    <mergeCell ref="J307:J308"/>
    <mergeCell ref="M307:M308"/>
    <mergeCell ref="N307:N308"/>
    <mergeCell ref="K305:K306"/>
    <mergeCell ref="K307:K308"/>
    <mergeCell ref="I293:I296"/>
    <mergeCell ref="J293:J294"/>
    <mergeCell ref="M293:M294"/>
    <mergeCell ref="K293:K294"/>
    <mergeCell ref="K295:K296"/>
    <mergeCell ref="K301:K302"/>
    <mergeCell ref="K303:K304"/>
    <mergeCell ref="J303:J304"/>
    <mergeCell ref="I297:I300"/>
    <mergeCell ref="J297:J298"/>
    <mergeCell ref="K297:K298"/>
    <mergeCell ref="K321:K322"/>
    <mergeCell ref="I309:I312"/>
    <mergeCell ref="J309:J310"/>
    <mergeCell ref="M321:M322"/>
    <mergeCell ref="K323:K324"/>
    <mergeCell ref="K311:K312"/>
    <mergeCell ref="L311:L312"/>
    <mergeCell ref="M311:M312"/>
    <mergeCell ref="L33:L34"/>
    <mergeCell ref="L35:L36"/>
    <mergeCell ref="L37:L38"/>
    <mergeCell ref="L39:L40"/>
    <mergeCell ref="L9:L10"/>
    <mergeCell ref="L11:L12"/>
    <mergeCell ref="L13:L14"/>
    <mergeCell ref="L21:L22"/>
    <mergeCell ref="F269:F280"/>
    <mergeCell ref="L87:L88"/>
    <mergeCell ref="L89:L90"/>
    <mergeCell ref="F293:F304"/>
    <mergeCell ref="M289:M290"/>
    <mergeCell ref="J291:J292"/>
    <mergeCell ref="M291:M292"/>
    <mergeCell ref="M301:M302"/>
    <mergeCell ref="H293:H304"/>
    <mergeCell ref="L201:L202"/>
    <mergeCell ref="L203:L204"/>
    <mergeCell ref="I209:I212"/>
    <mergeCell ref="J209:J210"/>
    <mergeCell ref="M209:M210"/>
    <mergeCell ref="J211:J212"/>
    <mergeCell ref="M211:M212"/>
    <mergeCell ref="J277:J278"/>
    <mergeCell ref="J265:J266"/>
    <mergeCell ref="K125:K126"/>
    <mergeCell ref="F233:F248"/>
    <mergeCell ref="F305:F324"/>
    <mergeCell ref="J295:J296"/>
    <mergeCell ref="I301:I304"/>
    <mergeCell ref="J301:J302"/>
    <mergeCell ref="K127:K128"/>
    <mergeCell ref="K145:K146"/>
    <mergeCell ref="K147:K148"/>
    <mergeCell ref="I121:I124"/>
    <mergeCell ref="J117:J118"/>
    <mergeCell ref="G45:G48"/>
    <mergeCell ref="I45:I48"/>
    <mergeCell ref="J45:J46"/>
    <mergeCell ref="G69:G72"/>
    <mergeCell ref="G73:G76"/>
    <mergeCell ref="G89:G92"/>
    <mergeCell ref="H33:H44"/>
    <mergeCell ref="H45:H48"/>
    <mergeCell ref="H49:H52"/>
    <mergeCell ref="G61:G64"/>
    <mergeCell ref="I61:I64"/>
    <mergeCell ref="J61:J62"/>
    <mergeCell ref="J63:J64"/>
    <mergeCell ref="K61:K62"/>
    <mergeCell ref="K63:K64"/>
    <mergeCell ref="G189:G192"/>
    <mergeCell ref="J143:J144"/>
    <mergeCell ref="K143:K144"/>
    <mergeCell ref="H85:H88"/>
    <mergeCell ref="F153:F156"/>
    <mergeCell ref="K157:K158"/>
    <mergeCell ref="K165:K166"/>
    <mergeCell ref="N293:N294"/>
    <mergeCell ref="N295:N296"/>
    <mergeCell ref="L301:L302"/>
    <mergeCell ref="L303:L304"/>
    <mergeCell ref="L289:L290"/>
    <mergeCell ref="N311:N312"/>
    <mergeCell ref="M281:M282"/>
    <mergeCell ref="N281:N282"/>
    <mergeCell ref="M303:M304"/>
    <mergeCell ref="N303:N304"/>
    <mergeCell ref="M163:M164"/>
    <mergeCell ref="N163:N164"/>
    <mergeCell ref="N301:N302"/>
    <mergeCell ref="N179:N180"/>
    <mergeCell ref="L173:L174"/>
    <mergeCell ref="M173:M174"/>
    <mergeCell ref="N173:N174"/>
    <mergeCell ref="L175:L176"/>
    <mergeCell ref="M175:M176"/>
    <mergeCell ref="N175:N176"/>
    <mergeCell ref="L297:L298"/>
    <mergeCell ref="L257:L258"/>
    <mergeCell ref="L195:L196"/>
    <mergeCell ref="L189:L190"/>
    <mergeCell ref="L191:L192"/>
    <mergeCell ref="L193:L194"/>
    <mergeCell ref="L169:L170"/>
    <mergeCell ref="M295:M296"/>
    <mergeCell ref="N223:N224"/>
    <mergeCell ref="N199:N200"/>
    <mergeCell ref="N209:N210"/>
    <mergeCell ref="N211:N212"/>
    <mergeCell ref="M313:M314"/>
    <mergeCell ref="L291:L292"/>
    <mergeCell ref="L305:L306"/>
    <mergeCell ref="L307:L308"/>
    <mergeCell ref="L313:L314"/>
    <mergeCell ref="M195:M196"/>
    <mergeCell ref="M225:M226"/>
    <mergeCell ref="M153:M154"/>
    <mergeCell ref="M123:M124"/>
    <mergeCell ref="M147:M148"/>
    <mergeCell ref="M121:M122"/>
    <mergeCell ref="M145:M146"/>
    <mergeCell ref="M213:M214"/>
    <mergeCell ref="L217:L218"/>
    <mergeCell ref="L219:L220"/>
    <mergeCell ref="L225:L226"/>
    <mergeCell ref="L227:L228"/>
    <mergeCell ref="L273:L274"/>
    <mergeCell ref="L199:L200"/>
    <mergeCell ref="L259:L260"/>
    <mergeCell ref="L157:L158"/>
    <mergeCell ref="L159:L160"/>
    <mergeCell ref="L163:L164"/>
    <mergeCell ref="M283:M284"/>
    <mergeCell ref="M159:M160"/>
    <mergeCell ref="M203:M204"/>
    <mergeCell ref="M201:M202"/>
    <mergeCell ref="L251:L252"/>
    <mergeCell ref="L253:L254"/>
    <mergeCell ref="L255:L256"/>
    <mergeCell ref="L153:L154"/>
    <mergeCell ref="L155:L156"/>
    <mergeCell ref="L293:L294"/>
    <mergeCell ref="L295:L296"/>
    <mergeCell ref="L281:L282"/>
    <mergeCell ref="L283:L284"/>
    <mergeCell ref="I313:I316"/>
    <mergeCell ref="J313:J314"/>
    <mergeCell ref="E281:E292"/>
    <mergeCell ref="F281:F292"/>
    <mergeCell ref="L149:L150"/>
    <mergeCell ref="L151:L152"/>
    <mergeCell ref="L269:L270"/>
    <mergeCell ref="L271:L272"/>
    <mergeCell ref="L315:L316"/>
    <mergeCell ref="J283:J284"/>
    <mergeCell ref="E97:E156"/>
    <mergeCell ref="E269:E280"/>
    <mergeCell ref="E293:E304"/>
    <mergeCell ref="G293:G304"/>
    <mergeCell ref="I157:I160"/>
    <mergeCell ref="I177:I180"/>
    <mergeCell ref="J203:J204"/>
    <mergeCell ref="J201:J202"/>
    <mergeCell ref="I201:I204"/>
    <mergeCell ref="J199:J200"/>
    <mergeCell ref="K199:K200"/>
    <mergeCell ref="L231:L232"/>
    <mergeCell ref="I273:I276"/>
    <mergeCell ref="L101:L102"/>
    <mergeCell ref="L103:L104"/>
    <mergeCell ref="G113:G116"/>
    <mergeCell ref="I113:I116"/>
    <mergeCell ref="L115:L116"/>
    <mergeCell ref="E233:E248"/>
    <mergeCell ref="E305:E324"/>
    <mergeCell ref="J157:J158"/>
    <mergeCell ref="E213:E232"/>
    <mergeCell ref="F213:F232"/>
    <mergeCell ref="I181:I184"/>
    <mergeCell ref="J181:J182"/>
    <mergeCell ref="J213:J214"/>
    <mergeCell ref="G281:G292"/>
    <mergeCell ref="I281:I284"/>
    <mergeCell ref="J281:J282"/>
    <mergeCell ref="E181:E212"/>
    <mergeCell ref="J323:J324"/>
    <mergeCell ref="J205:J206"/>
    <mergeCell ref="J207:J208"/>
    <mergeCell ref="G205:G208"/>
    <mergeCell ref="G209:G212"/>
    <mergeCell ref="H201:H204"/>
    <mergeCell ref="H205:H208"/>
    <mergeCell ref="H197:H200"/>
    <mergeCell ref="G197:G200"/>
    <mergeCell ref="I197:I200"/>
    <mergeCell ref="J197:J198"/>
    <mergeCell ref="J195:J196"/>
    <mergeCell ref="I193:I196"/>
    <mergeCell ref="H317:H320"/>
    <mergeCell ref="J311:J312"/>
    <mergeCell ref="E157:E180"/>
    <mergeCell ref="F157:F180"/>
    <mergeCell ref="G321:G324"/>
    <mergeCell ref="I189:I192"/>
    <mergeCell ref="G213:G216"/>
    <mergeCell ref="L321:L322"/>
    <mergeCell ref="L323:L324"/>
    <mergeCell ref="L209:L210"/>
    <mergeCell ref="L211:L212"/>
    <mergeCell ref="L177:L178"/>
    <mergeCell ref="L179:L180"/>
    <mergeCell ref="E249:E268"/>
    <mergeCell ref="F249:F268"/>
    <mergeCell ref="H305:H308"/>
    <mergeCell ref="H309:H312"/>
    <mergeCell ref="H313:H316"/>
    <mergeCell ref="G157:G160"/>
    <mergeCell ref="I169:I172"/>
    <mergeCell ref="J169:J170"/>
    <mergeCell ref="K169:K170"/>
    <mergeCell ref="M169:M170"/>
    <mergeCell ref="N169:N170"/>
    <mergeCell ref="J171:J172"/>
    <mergeCell ref="K171:K172"/>
    <mergeCell ref="L171:L172"/>
    <mergeCell ref="M171:M172"/>
    <mergeCell ref="N171:N172"/>
    <mergeCell ref="G169:G172"/>
    <mergeCell ref="M157:M158"/>
    <mergeCell ref="N157:N158"/>
    <mergeCell ref="J159:J160"/>
    <mergeCell ref="G177:G180"/>
    <mergeCell ref="I205:I208"/>
    <mergeCell ref="H321:H324"/>
    <mergeCell ref="G201:G204"/>
    <mergeCell ref="G193:G196"/>
    <mergeCell ref="G217:G220"/>
    <mergeCell ref="N129:N130"/>
    <mergeCell ref="J131:J132"/>
    <mergeCell ref="K131:K132"/>
    <mergeCell ref="L131:L132"/>
    <mergeCell ref="M131:M132"/>
    <mergeCell ref="N131:N132"/>
    <mergeCell ref="G133:G136"/>
    <mergeCell ref="I133:I136"/>
    <mergeCell ref="J133:J134"/>
    <mergeCell ref="K133:K134"/>
    <mergeCell ref="L133:L134"/>
    <mergeCell ref="M133:M134"/>
    <mergeCell ref="N133:N134"/>
    <mergeCell ref="J135:J136"/>
    <mergeCell ref="K135:K136"/>
    <mergeCell ref="L135:L136"/>
    <mergeCell ref="M135:M136"/>
    <mergeCell ref="N135:N136"/>
    <mergeCell ref="G129:G132"/>
    <mergeCell ref="I129:I132"/>
    <mergeCell ref="J129:J130"/>
    <mergeCell ref="K129:K130"/>
    <mergeCell ref="L129:L130"/>
    <mergeCell ref="M129:M130"/>
    <mergeCell ref="M85:M86"/>
    <mergeCell ref="M41:M42"/>
    <mergeCell ref="I33:I36"/>
    <mergeCell ref="H97:H104"/>
    <mergeCell ref="M103:M104"/>
    <mergeCell ref="J33:J34"/>
    <mergeCell ref="M33:M34"/>
    <mergeCell ref="J99:J100"/>
    <mergeCell ref="K33:K34"/>
    <mergeCell ref="H105:H112"/>
    <mergeCell ref="H125:H128"/>
    <mergeCell ref="H149:H152"/>
    <mergeCell ref="H129:H148"/>
    <mergeCell ref="H113:H116"/>
    <mergeCell ref="H117:H124"/>
    <mergeCell ref="F97:F128"/>
    <mergeCell ref="F129:F152"/>
    <mergeCell ref="L143:L144"/>
    <mergeCell ref="M143:M144"/>
    <mergeCell ref="F33:F52"/>
    <mergeCell ref="F53:F72"/>
    <mergeCell ref="I125:I128"/>
    <mergeCell ref="G137:G140"/>
    <mergeCell ref="I137:I140"/>
    <mergeCell ref="J137:J138"/>
    <mergeCell ref="K137:K138"/>
    <mergeCell ref="L137:L138"/>
    <mergeCell ref="M137:M138"/>
    <mergeCell ref="L73:L74"/>
    <mergeCell ref="L75:L76"/>
    <mergeCell ref="L77:L78"/>
    <mergeCell ref="L79:L80"/>
    <mergeCell ref="H153:H156"/>
    <mergeCell ref="I173:I176"/>
    <mergeCell ref="H157:H160"/>
    <mergeCell ref="H161:H168"/>
    <mergeCell ref="H169:H172"/>
    <mergeCell ref="G173:G176"/>
    <mergeCell ref="H173:H180"/>
    <mergeCell ref="N203:N204"/>
    <mergeCell ref="N201:N202"/>
    <mergeCell ref="M199:M200"/>
    <mergeCell ref="N137:N138"/>
    <mergeCell ref="J139:J140"/>
    <mergeCell ref="K139:K140"/>
    <mergeCell ref="L139:L140"/>
    <mergeCell ref="M139:M140"/>
    <mergeCell ref="N139:N140"/>
    <mergeCell ref="G141:G144"/>
    <mergeCell ref="I141:I144"/>
    <mergeCell ref="J141:J142"/>
    <mergeCell ref="K141:K142"/>
    <mergeCell ref="L141:L142"/>
    <mergeCell ref="M141:M142"/>
    <mergeCell ref="N141:N142"/>
    <mergeCell ref="N143:N144"/>
    <mergeCell ref="N159:N160"/>
    <mergeCell ref="L165:L166"/>
    <mergeCell ref="M165:M166"/>
    <mergeCell ref="N165:N166"/>
    <mergeCell ref="J167:J168"/>
    <mergeCell ref="K167:K168"/>
    <mergeCell ref="L167:L168"/>
    <mergeCell ref="M167:M168"/>
    <mergeCell ref="M287:M288"/>
    <mergeCell ref="N287:N288"/>
    <mergeCell ref="F181:F200"/>
    <mergeCell ref="F201:F208"/>
    <mergeCell ref="F209:F212"/>
    <mergeCell ref="H181:H196"/>
    <mergeCell ref="H225:H228"/>
    <mergeCell ref="H229:H232"/>
    <mergeCell ref="G241:G244"/>
    <mergeCell ref="I241:I244"/>
    <mergeCell ref="J241:J242"/>
    <mergeCell ref="K241:K242"/>
    <mergeCell ref="L241:L242"/>
    <mergeCell ref="M241:M242"/>
    <mergeCell ref="N241:N242"/>
    <mergeCell ref="J243:J244"/>
    <mergeCell ref="K243:K244"/>
    <mergeCell ref="L243:L244"/>
    <mergeCell ref="M243:M244"/>
    <mergeCell ref="N243:N244"/>
    <mergeCell ref="H233:H240"/>
    <mergeCell ref="H241:H244"/>
    <mergeCell ref="L277:L278"/>
    <mergeCell ref="L279:L280"/>
    <mergeCell ref="L265:L266"/>
    <mergeCell ref="L267:L268"/>
    <mergeCell ref="L245:L246"/>
    <mergeCell ref="L247:L248"/>
    <mergeCell ref="L229:L230"/>
    <mergeCell ref="N283:N284"/>
    <mergeCell ref="M215:M216"/>
    <mergeCell ref="N215:N216"/>
    <mergeCell ref="M297:M298"/>
    <mergeCell ref="N297:N298"/>
    <mergeCell ref="J299:J300"/>
    <mergeCell ref="K299:K300"/>
    <mergeCell ref="L299:L300"/>
    <mergeCell ref="M299:M300"/>
    <mergeCell ref="N299:N300"/>
    <mergeCell ref="G305:G308"/>
    <mergeCell ref="G309:G312"/>
    <mergeCell ref="G313:G316"/>
    <mergeCell ref="G317:G320"/>
    <mergeCell ref="G261:G264"/>
    <mergeCell ref="I261:I264"/>
    <mergeCell ref="J261:J262"/>
    <mergeCell ref="K261:K262"/>
    <mergeCell ref="L261:L262"/>
    <mergeCell ref="M261:M262"/>
    <mergeCell ref="N261:N262"/>
    <mergeCell ref="J263:J264"/>
    <mergeCell ref="K263:K264"/>
    <mergeCell ref="L263:L264"/>
    <mergeCell ref="M263:M264"/>
    <mergeCell ref="N263:N264"/>
    <mergeCell ref="I285:I288"/>
    <mergeCell ref="J285:J286"/>
    <mergeCell ref="K285:K286"/>
    <mergeCell ref="L285:L286"/>
    <mergeCell ref="M285:M286"/>
    <mergeCell ref="N285:N286"/>
    <mergeCell ref="J287:J288"/>
    <mergeCell ref="K287:K288"/>
    <mergeCell ref="L287:L288"/>
  </mergeCells>
  <conditionalFormatting sqref="K33:K48 K53:K68 K73:K92 K97:K152 K157:K176 K181:K208 K213:K244 K249:K300 K305:K320">
    <cfRule type="cellIs" dxfId="1120" priority="1597" operator="greaterThanOrEqual">
      <formula>10000</formula>
    </cfRule>
    <cfRule type="cellIs" dxfId="1119" priority="1600" operator="between">
      <formula>0.1</formula>
      <formula>0.999</formula>
    </cfRule>
    <cfRule type="cellIs" dxfId="1118" priority="1599" operator="between">
      <formula>1</formula>
      <formula>10</formula>
    </cfRule>
    <cfRule type="cellIs" dxfId="1117" priority="1598" operator="greaterThanOrEqual">
      <formula>10</formula>
    </cfRule>
  </conditionalFormatting>
  <conditionalFormatting sqref="K29:L324">
    <cfRule type="expression" dxfId="1116" priority="1596">
      <formula>K29&lt;#REF!</formula>
    </cfRule>
  </conditionalFormatting>
  <conditionalFormatting sqref="K9:N9 M10:N10 K10:K12 L11:N11 M12:N12 K13:N324">
    <cfRule type="cellIs" dxfId="1115" priority="1594" operator="between">
      <formula>0.1</formula>
      <formula>0.999</formula>
    </cfRule>
    <cfRule type="cellIs" dxfId="1114" priority="1595" operator="lessThan">
      <formula>0.1</formula>
    </cfRule>
    <cfRule type="expression" dxfId="1113" priority="1590">
      <formula>K9&lt;K$4</formula>
    </cfRule>
    <cfRule type="cellIs" dxfId="1112" priority="1591" operator="greaterThanOrEqual">
      <formula>10000</formula>
    </cfRule>
    <cfRule type="cellIs" dxfId="1111" priority="1592" operator="greaterThanOrEqual">
      <formula>10</formula>
    </cfRule>
    <cfRule type="cellIs" dxfId="1110" priority="1593" operator="between">
      <formula>1</formula>
      <formula>10</formula>
    </cfRule>
  </conditionalFormatting>
  <conditionalFormatting sqref="M29:M32 M153:M248">
    <cfRule type="expression" dxfId="1109" priority="2422">
      <formula>M29&lt;$M$5</formula>
    </cfRule>
  </conditionalFormatting>
  <conditionalFormatting sqref="M33:M48 M73:M92 M97:M152 M157:M176 M213:M244 M249:M300 M305:M320">
    <cfRule type="expression" dxfId="1108" priority="2534">
      <formula>M33&lt;$M$4</formula>
    </cfRule>
  </conditionalFormatting>
  <conditionalFormatting sqref="M49:M52">
    <cfRule type="expression" dxfId="1107" priority="405">
      <formula>M49&lt;$M$5</formula>
    </cfRule>
  </conditionalFormatting>
  <conditionalFormatting sqref="M53:M68">
    <cfRule type="expression" dxfId="1106" priority="126">
      <formula>M53&lt;$M$4</formula>
    </cfRule>
  </conditionalFormatting>
  <conditionalFormatting sqref="M69:M72">
    <cfRule type="expression" dxfId="1105" priority="403">
      <formula>M69&lt;$M$5</formula>
    </cfRule>
  </conditionalFormatting>
  <conditionalFormatting sqref="M93:M96">
    <cfRule type="expression" dxfId="1104" priority="401">
      <formula>M93&lt;$M$5</formula>
    </cfRule>
  </conditionalFormatting>
  <conditionalFormatting sqref="M205:M208">
    <cfRule type="expression" dxfId="1103" priority="98">
      <formula>M205&lt;$M$4</formula>
    </cfRule>
  </conditionalFormatting>
  <conditionalFormatting sqref="M265:M268">
    <cfRule type="expression" dxfId="1102" priority="395">
      <formula>M265&lt;$M$5</formula>
    </cfRule>
  </conditionalFormatting>
  <conditionalFormatting sqref="M277:M280">
    <cfRule type="expression" dxfId="1101" priority="397">
      <formula>M277&lt;$M$5</formula>
    </cfRule>
  </conditionalFormatting>
  <conditionalFormatting sqref="M289:M292">
    <cfRule type="expression" dxfId="1100" priority="379">
      <formula>M289&lt;$M$5</formula>
    </cfRule>
  </conditionalFormatting>
  <conditionalFormatting sqref="M301:M304">
    <cfRule type="expression" dxfId="1099" priority="381">
      <formula>M301&lt;$M$5</formula>
    </cfRule>
  </conditionalFormatting>
  <conditionalFormatting sqref="M321:M324">
    <cfRule type="expression" dxfId="1098" priority="377">
      <formula>M321&lt;$M$5</formula>
    </cfRule>
  </conditionalFormatting>
  <conditionalFormatting sqref="N29:N32 N153:N248">
    <cfRule type="expression" dxfId="1097" priority="2421">
      <formula>N29&lt;$N$5</formula>
    </cfRule>
  </conditionalFormatting>
  <conditionalFormatting sqref="N33:N48 N73:N92 N97:N152 N157:N176 N213:N244 N249:N300 N305:N320">
    <cfRule type="expression" dxfId="1096" priority="2533">
      <formula>N33&lt;$N$4</formula>
    </cfRule>
  </conditionalFormatting>
  <conditionalFormatting sqref="N49:N52">
    <cfRule type="expression" dxfId="1095" priority="404">
      <formula>N49&lt;$N$5</formula>
    </cfRule>
  </conditionalFormatting>
  <conditionalFormatting sqref="N53:N68">
    <cfRule type="expression" dxfId="1094" priority="125">
      <formula>N53&lt;$N$4</formula>
    </cfRule>
  </conditionalFormatting>
  <conditionalFormatting sqref="N69:N72">
    <cfRule type="expression" dxfId="1093" priority="402">
      <formula>N69&lt;$N$5</formula>
    </cfRule>
  </conditionalFormatting>
  <conditionalFormatting sqref="N93:N96">
    <cfRule type="expression" dxfId="1092" priority="400">
      <formula>N93&lt;$N$5</formula>
    </cfRule>
  </conditionalFormatting>
  <conditionalFormatting sqref="N205:N208">
    <cfRule type="expression" dxfId="1091" priority="97">
      <formula>N205&lt;$N$4</formula>
    </cfRule>
  </conditionalFormatting>
  <conditionalFormatting sqref="N265:N268">
    <cfRule type="expression" dxfId="1090" priority="394">
      <formula>N265&lt;$N$5</formula>
    </cfRule>
  </conditionalFormatting>
  <conditionalFormatting sqref="N277:N280">
    <cfRule type="expression" dxfId="1089" priority="396">
      <formula>N277&lt;$N$5</formula>
    </cfRule>
  </conditionalFormatting>
  <conditionalFormatting sqref="N289:N292">
    <cfRule type="expression" dxfId="1088" priority="378">
      <formula>N289&lt;$N$5</formula>
    </cfRule>
  </conditionalFormatting>
  <conditionalFormatting sqref="N301:N304">
    <cfRule type="expression" dxfId="1087" priority="380">
      <formula>N301&lt;$N$5</formula>
    </cfRule>
  </conditionalFormatting>
  <conditionalFormatting sqref="N321:N324">
    <cfRule type="expression" dxfId="1086" priority="376">
      <formula>N321&lt;$N$5</formula>
    </cfRule>
  </conditionalFormatting>
  <conditionalFormatting sqref="O9 O10:Q10 O11 O12:Q12 O13 O14:Q14 O15 O16:Q16 O17 O18:Q18 O19 O20:Q20 O21 O22:Q22 O23 O24:Q24 O25 O26:Q26 O27 O28:Q28 O29 O31 O33 O34:Q34 O35 O36:Q36 O37 O38:Q38 O39 O40:Q40 O41 O42:Q42 O43 O44:Q44 O45 O46:Q46 O47 O48:Q48 O49 O51 O54:Q54 O56:Q56 O58:Q58 O60:Q60 O62:Q62 O64:Q64 O66:Q66 O68:Q68 O74:Q74 O76:Q76 O78:Q78 O80:Q80 O82:Q82 O84:Q84 O86:Q86 O88:Q88 O90:Q90 O92:Q92 O98:Q98 O100:Q100 O102:Q102 O104:Q104 O106:Q106 O108:Q108 O110:Q110 O112:Q112 O114:Q114 O116:Q116 O118:Q118 O120:Q120 O122:Q122 O124:Q124 O126:Q126 O128:Q128 O130:Q130 O132:Q132 O134:Q134 O136:Q136 O138:Q138 O140:Q140 O142:Q142 O144:Q144 O146:Q146 O148:Q148 O150:Q150 O152:Q152 O156:R248 O250:Q250 O252:Q252 O254:Q254 O256:Q256 O258:Q258 O260:Q260 O262:Q262 O264:Q292 O294:Q294 O296:Q296 O298:Q298 O300:Q300 O306:Q306 O308:Q308 O310:Q310 O312:Q312 O314:Q314 O316:Q316 O318:Q318 O320:Q320">
    <cfRule type="cellIs" dxfId="1085" priority="1589" operator="lessThan">
      <formula>30</formula>
    </cfRule>
  </conditionalFormatting>
  <conditionalFormatting sqref="O174:Q174 O176:Q176">
    <cfRule type="cellIs" dxfId="1084" priority="112" operator="lessThan">
      <formula>30</formula>
    </cfRule>
  </conditionalFormatting>
  <conditionalFormatting sqref="O30:R30">
    <cfRule type="cellIs" dxfId="1083" priority="1586" operator="lessThan">
      <formula>30</formula>
    </cfRule>
  </conditionalFormatting>
  <conditionalFormatting sqref="O32:R32">
    <cfRule type="cellIs" dxfId="1082" priority="1585" operator="lessThan">
      <formula>30</formula>
    </cfRule>
  </conditionalFormatting>
  <conditionalFormatting sqref="O50:R50">
    <cfRule type="cellIs" dxfId="1081" priority="1584" operator="lessThan">
      <formula>30</formula>
    </cfRule>
  </conditionalFormatting>
  <conditionalFormatting sqref="O52:R52">
    <cfRule type="cellIs" dxfId="1080" priority="1583" operator="lessThan">
      <formula>30</formula>
    </cfRule>
  </conditionalFormatting>
  <conditionalFormatting sqref="O53:R53">
    <cfRule type="cellIs" dxfId="1079" priority="1378" operator="lessThan">
      <formula>0.1</formula>
    </cfRule>
    <cfRule type="cellIs" dxfId="1078" priority="1377" operator="between">
      <formula>0.1</formula>
      <formula>0.999</formula>
    </cfRule>
    <cfRule type="expression" dxfId="1077" priority="1373">
      <formula>O53&lt;O$4</formula>
    </cfRule>
    <cfRule type="cellIs" dxfId="1076" priority="1374" operator="greaterThanOrEqual">
      <formula>10000</formula>
    </cfRule>
    <cfRule type="cellIs" dxfId="1075" priority="1375" operator="greaterThanOrEqual">
      <formula>10</formula>
    </cfRule>
    <cfRule type="cellIs" dxfId="1074" priority="1376" operator="between">
      <formula>1</formula>
      <formula>10</formula>
    </cfRule>
  </conditionalFormatting>
  <conditionalFormatting sqref="O55:R55">
    <cfRule type="expression" dxfId="1073" priority="1367">
      <formula>O55&lt;O$4</formula>
    </cfRule>
    <cfRule type="cellIs" dxfId="1072" priority="1368" operator="greaterThanOrEqual">
      <formula>10000</formula>
    </cfRule>
    <cfRule type="cellIs" dxfId="1071" priority="1369" operator="greaterThanOrEqual">
      <formula>10</formula>
    </cfRule>
    <cfRule type="cellIs" dxfId="1070" priority="1370" operator="between">
      <formula>1</formula>
      <formula>10</formula>
    </cfRule>
    <cfRule type="cellIs" dxfId="1069" priority="1371" operator="between">
      <formula>0.1</formula>
      <formula>0.999</formula>
    </cfRule>
    <cfRule type="cellIs" dxfId="1068" priority="1372" operator="lessThan">
      <formula>0.1</formula>
    </cfRule>
  </conditionalFormatting>
  <conditionalFormatting sqref="O57:R57">
    <cfRule type="cellIs" dxfId="1067" priority="1363" operator="greaterThanOrEqual">
      <formula>10</formula>
    </cfRule>
    <cfRule type="cellIs" dxfId="1066" priority="1364" operator="between">
      <formula>1</formula>
      <formula>10</formula>
    </cfRule>
    <cfRule type="cellIs" dxfId="1065" priority="1365" operator="between">
      <formula>0.1</formula>
      <formula>0.999</formula>
    </cfRule>
    <cfRule type="cellIs" dxfId="1064" priority="1366" operator="lessThan">
      <formula>0.1</formula>
    </cfRule>
    <cfRule type="cellIs" dxfId="1063" priority="1362" operator="greaterThanOrEqual">
      <formula>10000</formula>
    </cfRule>
    <cfRule type="expression" dxfId="1062" priority="1361">
      <formula>O57&lt;O$4</formula>
    </cfRule>
  </conditionalFormatting>
  <conditionalFormatting sqref="O59:R59">
    <cfRule type="cellIs" dxfId="1061" priority="1356" operator="greaterThanOrEqual">
      <formula>10000</formula>
    </cfRule>
    <cfRule type="cellIs" dxfId="1060" priority="1360" operator="lessThan">
      <formula>0.1</formula>
    </cfRule>
    <cfRule type="expression" dxfId="1059" priority="1355">
      <formula>O59&lt;O$4</formula>
    </cfRule>
    <cfRule type="cellIs" dxfId="1058" priority="1359" operator="between">
      <formula>0.1</formula>
      <formula>0.999</formula>
    </cfRule>
    <cfRule type="cellIs" dxfId="1057" priority="1358" operator="between">
      <formula>1</formula>
      <formula>10</formula>
    </cfRule>
    <cfRule type="cellIs" dxfId="1056" priority="1357" operator="greaterThanOrEqual">
      <formula>10</formula>
    </cfRule>
  </conditionalFormatting>
  <conditionalFormatting sqref="O61:R61">
    <cfRule type="cellIs" dxfId="1055" priority="138" operator="lessThan">
      <formula>0.1</formula>
    </cfRule>
    <cfRule type="cellIs" dxfId="1054" priority="137" operator="between">
      <formula>0.1</formula>
      <formula>0.999</formula>
    </cfRule>
    <cfRule type="cellIs" dxfId="1053" priority="135" operator="greaterThanOrEqual">
      <formula>10</formula>
    </cfRule>
    <cfRule type="cellIs" dxfId="1052" priority="134" operator="greaterThanOrEqual">
      <formula>10000</formula>
    </cfRule>
    <cfRule type="cellIs" dxfId="1051" priority="136" operator="between">
      <formula>1</formula>
      <formula>10</formula>
    </cfRule>
    <cfRule type="expression" dxfId="1050" priority="133">
      <formula>O61&lt;O$4</formula>
    </cfRule>
  </conditionalFormatting>
  <conditionalFormatting sqref="O63:R63">
    <cfRule type="cellIs" dxfId="1049" priority="129" operator="greaterThanOrEqual">
      <formula>10</formula>
    </cfRule>
    <cfRule type="cellIs" dxfId="1048" priority="128" operator="greaterThanOrEqual">
      <formula>10000</formula>
    </cfRule>
    <cfRule type="expression" dxfId="1047" priority="127">
      <formula>O63&lt;O$4</formula>
    </cfRule>
    <cfRule type="cellIs" dxfId="1046" priority="132" operator="lessThan">
      <formula>0.1</formula>
    </cfRule>
    <cfRule type="cellIs" dxfId="1045" priority="131" operator="between">
      <formula>0.1</formula>
      <formula>0.999</formula>
    </cfRule>
    <cfRule type="cellIs" dxfId="1044" priority="130" operator="between">
      <formula>1</formula>
      <formula>10</formula>
    </cfRule>
  </conditionalFormatting>
  <conditionalFormatting sqref="O65:R65">
    <cfRule type="cellIs" dxfId="1043" priority="123" operator="between">
      <formula>0.1</formula>
      <formula>0.999</formula>
    </cfRule>
    <cfRule type="cellIs" dxfId="1042" priority="124" operator="lessThan">
      <formula>0.1</formula>
    </cfRule>
    <cfRule type="cellIs" dxfId="1041" priority="122" operator="between">
      <formula>1</formula>
      <formula>10</formula>
    </cfRule>
    <cfRule type="cellIs" dxfId="1040" priority="121" operator="greaterThanOrEqual">
      <formula>10</formula>
    </cfRule>
    <cfRule type="expression" dxfId="1039" priority="119">
      <formula>O65&lt;O$4</formula>
    </cfRule>
    <cfRule type="cellIs" dxfId="1038" priority="120" operator="greaterThanOrEqual">
      <formula>10000</formula>
    </cfRule>
  </conditionalFormatting>
  <conditionalFormatting sqref="O67:R67">
    <cfRule type="cellIs" dxfId="1037" priority="116" operator="between">
      <formula>1</formula>
      <formula>10</formula>
    </cfRule>
    <cfRule type="cellIs" dxfId="1036" priority="115" operator="greaterThanOrEqual">
      <formula>10</formula>
    </cfRule>
    <cfRule type="cellIs" dxfId="1035" priority="114" operator="greaterThanOrEqual">
      <formula>10000</formula>
    </cfRule>
    <cfRule type="expression" dxfId="1034" priority="113">
      <formula>O67&lt;O$4</formula>
    </cfRule>
    <cfRule type="cellIs" dxfId="1033" priority="118" operator="lessThan">
      <formula>0.1</formula>
    </cfRule>
    <cfRule type="cellIs" dxfId="1032" priority="117" operator="between">
      <formula>0.1</formula>
      <formula>0.999</formula>
    </cfRule>
  </conditionalFormatting>
  <conditionalFormatting sqref="O69:R69">
    <cfRule type="cellIs" dxfId="1031" priority="1354" operator="lessThan">
      <formula>0.1</formula>
    </cfRule>
    <cfRule type="expression" dxfId="1030" priority="1349">
      <formula>O69&lt;O$4</formula>
    </cfRule>
    <cfRule type="cellIs" dxfId="1029" priority="1350" operator="greaterThanOrEqual">
      <formula>10000</formula>
    </cfRule>
    <cfRule type="cellIs" dxfId="1028" priority="1351" operator="greaterThanOrEqual">
      <formula>10</formula>
    </cfRule>
    <cfRule type="cellIs" dxfId="1027" priority="1352" operator="between">
      <formula>1</formula>
      <formula>10</formula>
    </cfRule>
    <cfRule type="cellIs" dxfId="1026" priority="1353" operator="between">
      <formula>0.1</formula>
      <formula>0.999</formula>
    </cfRule>
  </conditionalFormatting>
  <conditionalFormatting sqref="O70:R70">
    <cfRule type="cellIs" dxfId="1025" priority="1582" operator="lessThan">
      <formula>30</formula>
    </cfRule>
  </conditionalFormatting>
  <conditionalFormatting sqref="O71:R71">
    <cfRule type="cellIs" dxfId="1024" priority="1348" operator="lessThan">
      <formula>0.1</formula>
    </cfRule>
    <cfRule type="cellIs" dxfId="1023" priority="1347" operator="between">
      <formula>0.1</formula>
      <formula>0.999</formula>
    </cfRule>
    <cfRule type="cellIs" dxfId="1022" priority="1344" operator="greaterThanOrEqual">
      <formula>10000</formula>
    </cfRule>
    <cfRule type="expression" dxfId="1021" priority="1343">
      <formula>O71&lt;O$4</formula>
    </cfRule>
    <cfRule type="cellIs" dxfId="1020" priority="1345" operator="greaterThanOrEqual">
      <formula>10</formula>
    </cfRule>
    <cfRule type="cellIs" dxfId="1019" priority="1346" operator="between">
      <formula>1</formula>
      <formula>10</formula>
    </cfRule>
  </conditionalFormatting>
  <conditionalFormatting sqref="O72:R72">
    <cfRule type="cellIs" dxfId="1018" priority="1581" operator="lessThan">
      <formula>30</formula>
    </cfRule>
  </conditionalFormatting>
  <conditionalFormatting sqref="O73:R73">
    <cfRule type="cellIs" dxfId="1017" priority="1330" operator="lessThan">
      <formula>0.1</formula>
    </cfRule>
    <cfRule type="cellIs" dxfId="1016" priority="1329" operator="between">
      <formula>0.1</formula>
      <formula>0.999</formula>
    </cfRule>
    <cfRule type="cellIs" dxfId="1015" priority="1328" operator="between">
      <formula>1</formula>
      <formula>10</formula>
    </cfRule>
    <cfRule type="cellIs" dxfId="1014" priority="1327" operator="greaterThanOrEqual">
      <formula>10</formula>
    </cfRule>
    <cfRule type="expression" dxfId="1013" priority="1325">
      <formula>O73&lt;O$4</formula>
    </cfRule>
    <cfRule type="cellIs" dxfId="1012" priority="1326" operator="greaterThanOrEqual">
      <formula>10000</formula>
    </cfRule>
  </conditionalFormatting>
  <conditionalFormatting sqref="O75:R75">
    <cfRule type="cellIs" dxfId="1011" priority="1321" operator="greaterThanOrEqual">
      <formula>10</formula>
    </cfRule>
    <cfRule type="expression" dxfId="1010" priority="1319">
      <formula>O75&lt;O$4</formula>
    </cfRule>
    <cfRule type="cellIs" dxfId="1009" priority="1320" operator="greaterThanOrEqual">
      <formula>10000</formula>
    </cfRule>
    <cfRule type="cellIs" dxfId="1008" priority="1322" operator="between">
      <formula>1</formula>
      <formula>10</formula>
    </cfRule>
    <cfRule type="cellIs" dxfId="1007" priority="1323" operator="between">
      <formula>0.1</formula>
      <formula>0.999</formula>
    </cfRule>
    <cfRule type="cellIs" dxfId="1006" priority="1324" operator="lessThan">
      <formula>0.1</formula>
    </cfRule>
  </conditionalFormatting>
  <conditionalFormatting sqref="O77:R77">
    <cfRule type="cellIs" dxfId="1005" priority="1314" operator="greaterThanOrEqual">
      <formula>10000</formula>
    </cfRule>
    <cfRule type="expression" dxfId="1004" priority="1313">
      <formula>O77&lt;O$4</formula>
    </cfRule>
    <cfRule type="cellIs" dxfId="1003" priority="1316" operator="between">
      <formula>1</formula>
      <formula>10</formula>
    </cfRule>
    <cfRule type="cellIs" dxfId="1002" priority="1317" operator="between">
      <formula>0.1</formula>
      <formula>0.999</formula>
    </cfRule>
    <cfRule type="cellIs" dxfId="1001" priority="1315" operator="greaterThanOrEqual">
      <formula>10</formula>
    </cfRule>
    <cfRule type="cellIs" dxfId="1000" priority="1318" operator="lessThan">
      <formula>0.1</formula>
    </cfRule>
  </conditionalFormatting>
  <conditionalFormatting sqref="O79:R79">
    <cfRule type="cellIs" dxfId="999" priority="1311" operator="between">
      <formula>0.1</formula>
      <formula>0.999</formula>
    </cfRule>
    <cfRule type="cellIs" dxfId="998" priority="1309" operator="greaterThanOrEqual">
      <formula>10</formula>
    </cfRule>
    <cfRule type="cellIs" dxfId="997" priority="1308" operator="greaterThanOrEqual">
      <formula>10000</formula>
    </cfRule>
    <cfRule type="expression" dxfId="996" priority="1307">
      <formula>O79&lt;O$4</formula>
    </cfRule>
    <cfRule type="cellIs" dxfId="995" priority="1310" operator="between">
      <formula>1</formula>
      <formula>10</formula>
    </cfRule>
    <cfRule type="cellIs" dxfId="994" priority="1312" operator="lessThan">
      <formula>0.1</formula>
    </cfRule>
  </conditionalFormatting>
  <conditionalFormatting sqref="O81:R81">
    <cfRule type="cellIs" dxfId="993" priority="1304" operator="between">
      <formula>1</formula>
      <formula>10</formula>
    </cfRule>
    <cfRule type="cellIs" dxfId="992" priority="1303" operator="greaterThanOrEqual">
      <formula>10</formula>
    </cfRule>
    <cfRule type="cellIs" dxfId="991" priority="1302" operator="greaterThanOrEqual">
      <formula>10000</formula>
    </cfRule>
    <cfRule type="expression" dxfId="990" priority="1301">
      <formula>O81&lt;O$4</formula>
    </cfRule>
    <cfRule type="cellIs" dxfId="989" priority="1306" operator="lessThan">
      <formula>0.1</formula>
    </cfRule>
    <cfRule type="cellIs" dxfId="988" priority="1305" operator="between">
      <formula>0.1</formula>
      <formula>0.999</formula>
    </cfRule>
  </conditionalFormatting>
  <conditionalFormatting sqref="O83:R83">
    <cfRule type="cellIs" dxfId="987" priority="1300" operator="lessThan">
      <formula>0.1</formula>
    </cfRule>
    <cfRule type="cellIs" dxfId="986" priority="1299" operator="between">
      <formula>0.1</formula>
      <formula>0.999</formula>
    </cfRule>
    <cfRule type="expression" dxfId="985" priority="1295">
      <formula>O83&lt;O$4</formula>
    </cfRule>
    <cfRule type="cellIs" dxfId="984" priority="1296" operator="greaterThanOrEqual">
      <formula>10000</formula>
    </cfRule>
    <cfRule type="cellIs" dxfId="983" priority="1297" operator="greaterThanOrEqual">
      <formula>10</formula>
    </cfRule>
    <cfRule type="cellIs" dxfId="982" priority="1298" operator="between">
      <formula>1</formula>
      <formula>10</formula>
    </cfRule>
  </conditionalFormatting>
  <conditionalFormatting sqref="O85:R85">
    <cfRule type="cellIs" dxfId="981" priority="1290" operator="greaterThanOrEqual">
      <formula>10000</formula>
    </cfRule>
    <cfRule type="expression" dxfId="980" priority="1289">
      <formula>O85&lt;O$4</formula>
    </cfRule>
    <cfRule type="cellIs" dxfId="979" priority="1291" operator="greaterThanOrEqual">
      <formula>10</formula>
    </cfRule>
    <cfRule type="cellIs" dxfId="978" priority="1293" operator="between">
      <formula>0.1</formula>
      <formula>0.999</formula>
    </cfRule>
    <cfRule type="cellIs" dxfId="977" priority="1292" operator="between">
      <formula>1</formula>
      <formula>10</formula>
    </cfRule>
    <cfRule type="cellIs" dxfId="976" priority="1294" operator="lessThan">
      <formula>0.1</formula>
    </cfRule>
  </conditionalFormatting>
  <conditionalFormatting sqref="O87:R87">
    <cfRule type="cellIs" dxfId="975" priority="1284" operator="greaterThanOrEqual">
      <formula>10000</formula>
    </cfRule>
    <cfRule type="expression" dxfId="974" priority="1283">
      <formula>O87&lt;O$4</formula>
    </cfRule>
    <cfRule type="cellIs" dxfId="973" priority="1288" operator="lessThan">
      <formula>0.1</formula>
    </cfRule>
    <cfRule type="cellIs" dxfId="972" priority="1287" operator="between">
      <formula>0.1</formula>
      <formula>0.999</formula>
    </cfRule>
    <cfRule type="cellIs" dxfId="971" priority="1286" operator="between">
      <formula>1</formula>
      <formula>10</formula>
    </cfRule>
    <cfRule type="cellIs" dxfId="970" priority="1285" operator="greaterThanOrEqual">
      <formula>10</formula>
    </cfRule>
  </conditionalFormatting>
  <conditionalFormatting sqref="O89:R89">
    <cfRule type="cellIs" dxfId="969" priority="1279" operator="greaterThanOrEqual">
      <formula>10</formula>
    </cfRule>
    <cfRule type="cellIs" dxfId="968" priority="1280" operator="between">
      <formula>1</formula>
      <formula>10</formula>
    </cfRule>
    <cfRule type="cellIs" dxfId="967" priority="1281" operator="between">
      <formula>0.1</formula>
      <formula>0.999</formula>
    </cfRule>
    <cfRule type="cellIs" dxfId="966" priority="1282" operator="lessThan">
      <formula>0.1</formula>
    </cfRule>
    <cfRule type="expression" dxfId="965" priority="1277">
      <formula>O89&lt;O$4</formula>
    </cfRule>
    <cfRule type="cellIs" dxfId="964" priority="1278" operator="greaterThanOrEqual">
      <formula>10000</formula>
    </cfRule>
  </conditionalFormatting>
  <conditionalFormatting sqref="O91:R91">
    <cfRule type="cellIs" dxfId="963" priority="1274" operator="between">
      <formula>1</formula>
      <formula>10</formula>
    </cfRule>
    <cfRule type="cellIs" dxfId="962" priority="1273" operator="greaterThanOrEqual">
      <formula>10</formula>
    </cfRule>
    <cfRule type="expression" dxfId="961" priority="1271">
      <formula>O91&lt;O$4</formula>
    </cfRule>
    <cfRule type="cellIs" dxfId="960" priority="1275" operator="between">
      <formula>0.1</formula>
      <formula>0.999</formula>
    </cfRule>
    <cfRule type="cellIs" dxfId="959" priority="1276" operator="lessThan">
      <formula>0.1</formula>
    </cfRule>
    <cfRule type="cellIs" dxfId="958" priority="1272" operator="greaterThanOrEqual">
      <formula>10000</formula>
    </cfRule>
  </conditionalFormatting>
  <conditionalFormatting sqref="O93:R93">
    <cfRule type="cellIs" dxfId="957" priority="1266" operator="greaterThanOrEqual">
      <formula>10000</formula>
    </cfRule>
    <cfRule type="cellIs" dxfId="956" priority="1267" operator="greaterThanOrEqual">
      <formula>10</formula>
    </cfRule>
    <cfRule type="cellIs" dxfId="955" priority="1268" operator="between">
      <formula>1</formula>
      <formula>10</formula>
    </cfRule>
    <cfRule type="cellIs" dxfId="954" priority="1269" operator="between">
      <formula>0.1</formula>
      <formula>0.999</formula>
    </cfRule>
    <cfRule type="cellIs" dxfId="953" priority="1270" operator="lessThan">
      <formula>0.1</formula>
    </cfRule>
    <cfRule type="expression" dxfId="952" priority="1265">
      <formula>O93&lt;O$4</formula>
    </cfRule>
  </conditionalFormatting>
  <conditionalFormatting sqref="O94:R94">
    <cfRule type="cellIs" dxfId="951" priority="1580" operator="lessThan">
      <formula>30</formula>
    </cfRule>
  </conditionalFormatting>
  <conditionalFormatting sqref="O95:R95">
    <cfRule type="expression" dxfId="950" priority="1259">
      <formula>O95&lt;O$4</formula>
    </cfRule>
    <cfRule type="cellIs" dxfId="949" priority="1260" operator="greaterThanOrEqual">
      <formula>10000</formula>
    </cfRule>
    <cfRule type="cellIs" dxfId="948" priority="1261" operator="greaterThanOrEqual">
      <formula>10</formula>
    </cfRule>
    <cfRule type="cellIs" dxfId="947" priority="1262" operator="between">
      <formula>1</formula>
      <formula>10</formula>
    </cfRule>
    <cfRule type="cellIs" dxfId="946" priority="1263" operator="between">
      <formula>0.1</formula>
      <formula>0.999</formula>
    </cfRule>
    <cfRule type="cellIs" dxfId="945" priority="1264" operator="lessThan">
      <formula>0.1</formula>
    </cfRule>
  </conditionalFormatting>
  <conditionalFormatting sqref="O96:R96">
    <cfRule type="cellIs" dxfId="944" priority="1579" operator="lessThan">
      <formula>30</formula>
    </cfRule>
  </conditionalFormatting>
  <conditionalFormatting sqref="O97:R97">
    <cfRule type="expression" dxfId="943" priority="1241">
      <formula>O97&lt;O$4</formula>
    </cfRule>
    <cfRule type="cellIs" dxfId="942" priority="1242" operator="greaterThanOrEqual">
      <formula>10000</formula>
    </cfRule>
    <cfRule type="cellIs" dxfId="941" priority="1243" operator="greaterThanOrEqual">
      <formula>10</formula>
    </cfRule>
    <cfRule type="cellIs" dxfId="940" priority="1244" operator="between">
      <formula>1</formula>
      <formula>10</formula>
    </cfRule>
    <cfRule type="cellIs" dxfId="939" priority="1245" operator="between">
      <formula>0.1</formula>
      <formula>0.999</formula>
    </cfRule>
    <cfRule type="cellIs" dxfId="938" priority="1246" operator="lessThan">
      <formula>0.1</formula>
    </cfRule>
  </conditionalFormatting>
  <conditionalFormatting sqref="O99:R99">
    <cfRule type="cellIs" dxfId="937" priority="1240" operator="lessThan">
      <formula>0.1</formula>
    </cfRule>
    <cfRule type="cellIs" dxfId="936" priority="1236" operator="greaterThanOrEqual">
      <formula>10000</formula>
    </cfRule>
    <cfRule type="expression" dxfId="935" priority="1235">
      <formula>O99&lt;O$4</formula>
    </cfRule>
    <cfRule type="cellIs" dxfId="934" priority="1237" operator="greaterThanOrEqual">
      <formula>10</formula>
    </cfRule>
    <cfRule type="cellIs" dxfId="933" priority="1238" operator="between">
      <formula>1</formula>
      <formula>10</formula>
    </cfRule>
    <cfRule type="cellIs" dxfId="932" priority="1239" operator="between">
      <formula>0.1</formula>
      <formula>0.999</formula>
    </cfRule>
  </conditionalFormatting>
  <conditionalFormatting sqref="O101:R101">
    <cfRule type="cellIs" dxfId="931" priority="1234" operator="lessThan">
      <formula>0.1</formula>
    </cfRule>
    <cfRule type="cellIs" dxfId="930" priority="1233" operator="between">
      <formula>0.1</formula>
      <formula>0.999</formula>
    </cfRule>
    <cfRule type="cellIs" dxfId="929" priority="1232" operator="between">
      <formula>1</formula>
      <formula>10</formula>
    </cfRule>
    <cfRule type="cellIs" dxfId="928" priority="1230" operator="greaterThanOrEqual">
      <formula>10000</formula>
    </cfRule>
    <cfRule type="expression" dxfId="927" priority="1229">
      <formula>O101&lt;O$4</formula>
    </cfRule>
    <cfRule type="cellIs" dxfId="926" priority="1231" operator="greaterThanOrEqual">
      <formula>10</formula>
    </cfRule>
  </conditionalFormatting>
  <conditionalFormatting sqref="O103:R103">
    <cfRule type="cellIs" dxfId="925" priority="1224" operator="greaterThanOrEqual">
      <formula>10000</formula>
    </cfRule>
    <cfRule type="cellIs" dxfId="924" priority="1228" operator="lessThan">
      <formula>0.1</formula>
    </cfRule>
    <cfRule type="cellIs" dxfId="923" priority="1227" operator="between">
      <formula>0.1</formula>
      <formula>0.999</formula>
    </cfRule>
    <cfRule type="cellIs" dxfId="922" priority="1226" operator="between">
      <formula>1</formula>
      <formula>10</formula>
    </cfRule>
    <cfRule type="cellIs" dxfId="921" priority="1225" operator="greaterThanOrEqual">
      <formula>10</formula>
    </cfRule>
    <cfRule type="expression" dxfId="920" priority="1223">
      <formula>O103&lt;O$4</formula>
    </cfRule>
  </conditionalFormatting>
  <conditionalFormatting sqref="O105:R105">
    <cfRule type="cellIs" dxfId="919" priority="1210" operator="lessThan">
      <formula>0.1</formula>
    </cfRule>
    <cfRule type="cellIs" dxfId="918" priority="1209" operator="between">
      <formula>0.1</formula>
      <formula>0.999</formula>
    </cfRule>
    <cfRule type="cellIs" dxfId="917" priority="1208" operator="between">
      <formula>1</formula>
      <formula>10</formula>
    </cfRule>
    <cfRule type="cellIs" dxfId="916" priority="1207" operator="greaterThanOrEqual">
      <formula>10</formula>
    </cfRule>
    <cfRule type="cellIs" dxfId="915" priority="1206" operator="greaterThanOrEqual">
      <formula>10000</formula>
    </cfRule>
    <cfRule type="expression" dxfId="914" priority="1205">
      <formula>O105&lt;O$4</formula>
    </cfRule>
  </conditionalFormatting>
  <conditionalFormatting sqref="O107:R107">
    <cfRule type="cellIs" dxfId="913" priority="1204" operator="lessThan">
      <formula>0.1</formula>
    </cfRule>
    <cfRule type="cellIs" dxfId="912" priority="1201" operator="greaterThanOrEqual">
      <formula>10</formula>
    </cfRule>
    <cfRule type="cellIs" dxfId="911" priority="1203" operator="between">
      <formula>0.1</formula>
      <formula>0.999</formula>
    </cfRule>
    <cfRule type="cellIs" dxfId="910" priority="1202" operator="between">
      <formula>1</formula>
      <formula>10</formula>
    </cfRule>
    <cfRule type="cellIs" dxfId="909" priority="1200" operator="greaterThanOrEqual">
      <formula>10000</formula>
    </cfRule>
    <cfRule type="expression" dxfId="908" priority="1199">
      <formula>O107&lt;O$4</formula>
    </cfRule>
  </conditionalFormatting>
  <conditionalFormatting sqref="O109:R109">
    <cfRule type="cellIs" dxfId="907" priority="1198" operator="lessThan">
      <formula>0.1</formula>
    </cfRule>
    <cfRule type="cellIs" dxfId="906" priority="1197" operator="between">
      <formula>0.1</formula>
      <formula>0.999</formula>
    </cfRule>
    <cfRule type="cellIs" dxfId="905" priority="1196" operator="between">
      <formula>1</formula>
      <formula>10</formula>
    </cfRule>
    <cfRule type="cellIs" dxfId="904" priority="1195" operator="greaterThanOrEqual">
      <formula>10</formula>
    </cfRule>
    <cfRule type="cellIs" dxfId="903" priority="1194" operator="greaterThanOrEqual">
      <formula>10000</formula>
    </cfRule>
    <cfRule type="expression" dxfId="902" priority="1193">
      <formula>O109&lt;O$4</formula>
    </cfRule>
  </conditionalFormatting>
  <conditionalFormatting sqref="O111:R111">
    <cfRule type="cellIs" dxfId="901" priority="1191" operator="between">
      <formula>0.1</formula>
      <formula>0.999</formula>
    </cfRule>
    <cfRule type="cellIs" dxfId="900" priority="1190" operator="between">
      <formula>1</formula>
      <formula>10</formula>
    </cfRule>
    <cfRule type="cellIs" dxfId="899" priority="1189" operator="greaterThanOrEqual">
      <formula>10</formula>
    </cfRule>
    <cfRule type="cellIs" dxfId="898" priority="1188" operator="greaterThanOrEqual">
      <formula>10000</formula>
    </cfRule>
    <cfRule type="expression" dxfId="897" priority="1187">
      <formula>O111&lt;O$4</formula>
    </cfRule>
    <cfRule type="cellIs" dxfId="896" priority="1192" operator="lessThan">
      <formula>0.1</formula>
    </cfRule>
  </conditionalFormatting>
  <conditionalFormatting sqref="O113:R113">
    <cfRule type="expression" dxfId="895" priority="1181">
      <formula>O113&lt;O$4</formula>
    </cfRule>
    <cfRule type="cellIs" dxfId="894" priority="1186" operator="lessThan">
      <formula>0.1</formula>
    </cfRule>
    <cfRule type="cellIs" dxfId="893" priority="1185" operator="between">
      <formula>0.1</formula>
      <formula>0.999</formula>
    </cfRule>
    <cfRule type="cellIs" dxfId="892" priority="1184" operator="between">
      <formula>1</formula>
      <formula>10</formula>
    </cfRule>
    <cfRule type="cellIs" dxfId="891" priority="1183" operator="greaterThanOrEqual">
      <formula>10</formula>
    </cfRule>
    <cfRule type="cellIs" dxfId="890" priority="1182" operator="greaterThanOrEqual">
      <formula>10000</formula>
    </cfRule>
  </conditionalFormatting>
  <conditionalFormatting sqref="O115:R115">
    <cfRule type="cellIs" dxfId="889" priority="1180" operator="lessThan">
      <formula>0.1</formula>
    </cfRule>
    <cfRule type="cellIs" dxfId="888" priority="1179" operator="between">
      <formula>0.1</formula>
      <formula>0.999</formula>
    </cfRule>
    <cfRule type="cellIs" dxfId="887" priority="1177" operator="greaterThanOrEqual">
      <formula>10</formula>
    </cfRule>
    <cfRule type="cellIs" dxfId="886" priority="1176" operator="greaterThanOrEqual">
      <formula>10000</formula>
    </cfRule>
    <cfRule type="expression" dxfId="885" priority="1175">
      <formula>O115&lt;O$4</formula>
    </cfRule>
    <cfRule type="cellIs" dxfId="884" priority="1178" operator="between">
      <formula>1</formula>
      <formula>10</formula>
    </cfRule>
  </conditionalFormatting>
  <conditionalFormatting sqref="O117:R117">
    <cfRule type="cellIs" dxfId="883" priority="1162" operator="lessThan">
      <formula>0.1</formula>
    </cfRule>
    <cfRule type="cellIs" dxfId="882" priority="1161" operator="between">
      <formula>0.1</formula>
      <formula>0.999</formula>
    </cfRule>
    <cfRule type="cellIs" dxfId="881" priority="1160" operator="between">
      <formula>1</formula>
      <formula>10</formula>
    </cfRule>
    <cfRule type="cellIs" dxfId="880" priority="1159" operator="greaterThanOrEqual">
      <formula>10</formula>
    </cfRule>
    <cfRule type="cellIs" dxfId="879" priority="1158" operator="greaterThanOrEqual">
      <formula>10000</formula>
    </cfRule>
    <cfRule type="expression" dxfId="878" priority="1157">
      <formula>O117&lt;O$4</formula>
    </cfRule>
  </conditionalFormatting>
  <conditionalFormatting sqref="O119:R119">
    <cfRule type="cellIs" dxfId="877" priority="1156" operator="lessThan">
      <formula>0.1</formula>
    </cfRule>
    <cfRule type="cellIs" dxfId="876" priority="1155" operator="between">
      <formula>0.1</formula>
      <formula>0.999</formula>
    </cfRule>
    <cfRule type="cellIs" dxfId="875" priority="1154" operator="between">
      <formula>1</formula>
      <formula>10</formula>
    </cfRule>
    <cfRule type="cellIs" dxfId="874" priority="1153" operator="greaterThanOrEqual">
      <formula>10</formula>
    </cfRule>
    <cfRule type="cellIs" dxfId="873" priority="1152" operator="greaterThanOrEqual">
      <formula>10000</formula>
    </cfRule>
    <cfRule type="expression" dxfId="872" priority="1151">
      <formula>O119&lt;O$4</formula>
    </cfRule>
  </conditionalFormatting>
  <conditionalFormatting sqref="O121:R121">
    <cfRule type="expression" dxfId="871" priority="1145">
      <formula>O121&lt;O$4</formula>
    </cfRule>
    <cfRule type="cellIs" dxfId="870" priority="1146" operator="greaterThanOrEqual">
      <formula>10000</formula>
    </cfRule>
    <cfRule type="cellIs" dxfId="869" priority="1147" operator="greaterThanOrEqual">
      <formula>10</formula>
    </cfRule>
    <cfRule type="cellIs" dxfId="868" priority="1148" operator="between">
      <formula>1</formula>
      <formula>10</formula>
    </cfRule>
    <cfRule type="cellIs" dxfId="867" priority="1149" operator="between">
      <formula>0.1</formula>
      <formula>0.999</formula>
    </cfRule>
    <cfRule type="cellIs" dxfId="866" priority="1150" operator="lessThan">
      <formula>0.1</formula>
    </cfRule>
  </conditionalFormatting>
  <conditionalFormatting sqref="O123:R123">
    <cfRule type="cellIs" dxfId="865" priority="1141" operator="greaterThanOrEqual">
      <formula>10</formula>
    </cfRule>
    <cfRule type="cellIs" dxfId="864" priority="1144" operator="lessThan">
      <formula>0.1</formula>
    </cfRule>
    <cfRule type="cellIs" dxfId="863" priority="1143" operator="between">
      <formula>0.1</formula>
      <formula>0.999</formula>
    </cfRule>
    <cfRule type="cellIs" dxfId="862" priority="1142" operator="between">
      <formula>1</formula>
      <formula>10</formula>
    </cfRule>
    <cfRule type="expression" dxfId="861" priority="1139">
      <formula>O123&lt;O$4</formula>
    </cfRule>
    <cfRule type="cellIs" dxfId="860" priority="1140" operator="greaterThanOrEqual">
      <formula>10000</formula>
    </cfRule>
  </conditionalFormatting>
  <conditionalFormatting sqref="O125:R125">
    <cfRule type="cellIs" dxfId="859" priority="1135" operator="greaterThanOrEqual">
      <formula>10</formula>
    </cfRule>
    <cfRule type="cellIs" dxfId="858" priority="1136" operator="between">
      <formula>1</formula>
      <formula>10</formula>
    </cfRule>
    <cfRule type="cellIs" dxfId="857" priority="1138" operator="lessThan">
      <formula>0.1</formula>
    </cfRule>
    <cfRule type="cellIs" dxfId="856" priority="1137" operator="between">
      <formula>0.1</formula>
      <formula>0.999</formula>
    </cfRule>
    <cfRule type="expression" dxfId="855" priority="1133">
      <formula>O125&lt;O$4</formula>
    </cfRule>
    <cfRule type="cellIs" dxfId="854" priority="1134" operator="greaterThanOrEqual">
      <formula>10000</formula>
    </cfRule>
  </conditionalFormatting>
  <conditionalFormatting sqref="O127:R127">
    <cfRule type="cellIs" dxfId="853" priority="1132" operator="lessThan">
      <formula>0.1</formula>
    </cfRule>
    <cfRule type="expression" dxfId="852" priority="1127">
      <formula>O127&lt;O$4</formula>
    </cfRule>
    <cfRule type="cellIs" dxfId="851" priority="1128" operator="greaterThanOrEqual">
      <formula>10000</formula>
    </cfRule>
    <cfRule type="cellIs" dxfId="850" priority="1129" operator="greaterThanOrEqual">
      <formula>10</formula>
    </cfRule>
    <cfRule type="cellIs" dxfId="849" priority="1130" operator="between">
      <formula>1</formula>
      <formula>10</formula>
    </cfRule>
    <cfRule type="cellIs" dxfId="848" priority="1131" operator="between">
      <formula>0.1</formula>
      <formula>0.999</formula>
    </cfRule>
  </conditionalFormatting>
  <conditionalFormatting sqref="O129:R129">
    <cfRule type="cellIs" dxfId="847" priority="183" operator="greaterThanOrEqual">
      <formula>10</formula>
    </cfRule>
    <cfRule type="cellIs" dxfId="846" priority="184" operator="between">
      <formula>1</formula>
      <formula>10</formula>
    </cfRule>
    <cfRule type="cellIs" dxfId="845" priority="185" operator="between">
      <formula>0.1</formula>
      <formula>0.999</formula>
    </cfRule>
    <cfRule type="cellIs" dxfId="844" priority="186" operator="lessThan">
      <formula>0.1</formula>
    </cfRule>
    <cfRule type="cellIs" dxfId="843" priority="182" operator="greaterThanOrEqual">
      <formula>10000</formula>
    </cfRule>
    <cfRule type="expression" dxfId="842" priority="181">
      <formula>O129&lt;O$4</formula>
    </cfRule>
  </conditionalFormatting>
  <conditionalFormatting sqref="O131:R131">
    <cfRule type="expression" dxfId="841" priority="175">
      <formula>O131&lt;O$4</formula>
    </cfRule>
    <cfRule type="cellIs" dxfId="840" priority="176" operator="greaterThanOrEqual">
      <formula>10000</formula>
    </cfRule>
    <cfRule type="cellIs" dxfId="839" priority="177" operator="greaterThanOrEqual">
      <formula>10</formula>
    </cfRule>
    <cfRule type="cellIs" dxfId="838" priority="179" operator="between">
      <formula>0.1</formula>
      <formula>0.999</formula>
    </cfRule>
    <cfRule type="cellIs" dxfId="837" priority="178" operator="between">
      <formula>1</formula>
      <formula>10</formula>
    </cfRule>
    <cfRule type="cellIs" dxfId="836" priority="180" operator="lessThan">
      <formula>0.1</formula>
    </cfRule>
  </conditionalFormatting>
  <conditionalFormatting sqref="O133:R133">
    <cfRule type="cellIs" dxfId="835" priority="174" operator="lessThan">
      <formula>0.1</formula>
    </cfRule>
    <cfRule type="cellIs" dxfId="834" priority="173" operator="between">
      <formula>0.1</formula>
      <formula>0.999</formula>
    </cfRule>
    <cfRule type="cellIs" dxfId="833" priority="171" operator="greaterThanOrEqual">
      <formula>10</formula>
    </cfRule>
    <cfRule type="cellIs" dxfId="832" priority="170" operator="greaterThanOrEqual">
      <formula>10000</formula>
    </cfRule>
    <cfRule type="cellIs" dxfId="831" priority="172" operator="between">
      <formula>1</formula>
      <formula>10</formula>
    </cfRule>
    <cfRule type="expression" dxfId="830" priority="169">
      <formula>O133&lt;O$4</formula>
    </cfRule>
  </conditionalFormatting>
  <conditionalFormatting sqref="O135:R135">
    <cfRule type="expression" dxfId="829" priority="163">
      <formula>O135&lt;O$4</formula>
    </cfRule>
    <cfRule type="cellIs" dxfId="828" priority="164" operator="greaterThanOrEqual">
      <formula>10000</formula>
    </cfRule>
    <cfRule type="cellIs" dxfId="827" priority="168" operator="lessThan">
      <formula>0.1</formula>
    </cfRule>
    <cfRule type="cellIs" dxfId="826" priority="167" operator="between">
      <formula>0.1</formula>
      <formula>0.999</formula>
    </cfRule>
    <cfRule type="cellIs" dxfId="825" priority="166" operator="between">
      <formula>1</formula>
      <formula>10</formula>
    </cfRule>
    <cfRule type="cellIs" dxfId="824" priority="165" operator="greaterThanOrEqual">
      <formula>10</formula>
    </cfRule>
  </conditionalFormatting>
  <conditionalFormatting sqref="O137:R137">
    <cfRule type="cellIs" dxfId="823" priority="162" operator="lessThan">
      <formula>0.1</formula>
    </cfRule>
    <cfRule type="expression" dxfId="822" priority="157">
      <formula>O137&lt;O$4</formula>
    </cfRule>
    <cfRule type="cellIs" dxfId="821" priority="160" operator="between">
      <formula>1</formula>
      <formula>10</formula>
    </cfRule>
    <cfRule type="cellIs" dxfId="820" priority="158" operator="greaterThanOrEqual">
      <formula>10000</formula>
    </cfRule>
    <cfRule type="cellIs" dxfId="819" priority="159" operator="greaterThanOrEqual">
      <formula>10</formula>
    </cfRule>
    <cfRule type="cellIs" dxfId="818" priority="161" operator="between">
      <formula>0.1</formula>
      <formula>0.999</formula>
    </cfRule>
  </conditionalFormatting>
  <conditionalFormatting sqref="O139:R139">
    <cfRule type="cellIs" dxfId="817" priority="156" operator="lessThan">
      <formula>0.1</formula>
    </cfRule>
    <cfRule type="cellIs" dxfId="816" priority="154" operator="between">
      <formula>1</formula>
      <formula>10</formula>
    </cfRule>
    <cfRule type="cellIs" dxfId="815" priority="152" operator="greaterThanOrEqual">
      <formula>10000</formula>
    </cfRule>
    <cfRule type="expression" dxfId="814" priority="151">
      <formula>O139&lt;O$4</formula>
    </cfRule>
    <cfRule type="cellIs" dxfId="813" priority="153" operator="greaterThanOrEqual">
      <formula>10</formula>
    </cfRule>
    <cfRule type="cellIs" dxfId="812" priority="155" operator="between">
      <formula>0.1</formula>
      <formula>0.999</formula>
    </cfRule>
  </conditionalFormatting>
  <conditionalFormatting sqref="O141:R141">
    <cfRule type="cellIs" dxfId="811" priority="150" operator="lessThan">
      <formula>0.1</formula>
    </cfRule>
    <cfRule type="expression" dxfId="810" priority="145">
      <formula>O141&lt;O$4</formula>
    </cfRule>
    <cfRule type="cellIs" dxfId="809" priority="146" operator="greaterThanOrEqual">
      <formula>10000</formula>
    </cfRule>
    <cfRule type="cellIs" dxfId="808" priority="147" operator="greaterThanOrEqual">
      <formula>10</formula>
    </cfRule>
    <cfRule type="cellIs" dxfId="807" priority="148" operator="between">
      <formula>1</formula>
      <formula>10</formula>
    </cfRule>
    <cfRule type="cellIs" dxfId="806" priority="149" operator="between">
      <formula>0.1</formula>
      <formula>0.999</formula>
    </cfRule>
  </conditionalFormatting>
  <conditionalFormatting sqref="O143:R143">
    <cfRule type="cellIs" dxfId="805" priority="144" operator="lessThan">
      <formula>0.1</formula>
    </cfRule>
    <cfRule type="cellIs" dxfId="804" priority="141" operator="greaterThanOrEqual">
      <formula>10</formula>
    </cfRule>
    <cfRule type="cellIs" dxfId="803" priority="140" operator="greaterThanOrEqual">
      <formula>10000</formula>
    </cfRule>
    <cfRule type="expression" dxfId="802" priority="139">
      <formula>O143&lt;O$4</formula>
    </cfRule>
    <cfRule type="cellIs" dxfId="801" priority="143" operator="between">
      <formula>0.1</formula>
      <formula>0.999</formula>
    </cfRule>
    <cfRule type="cellIs" dxfId="800" priority="142" operator="between">
      <formula>1</formula>
      <formula>10</formula>
    </cfRule>
  </conditionalFormatting>
  <conditionalFormatting sqref="O145:R145">
    <cfRule type="cellIs" dxfId="799" priority="1122" operator="greaterThanOrEqual">
      <formula>10000</formula>
    </cfRule>
    <cfRule type="expression" dxfId="798" priority="1121">
      <formula>O145&lt;O$4</formula>
    </cfRule>
    <cfRule type="cellIs" dxfId="797" priority="1126" operator="lessThan">
      <formula>0.1</formula>
    </cfRule>
    <cfRule type="cellIs" dxfId="796" priority="1125" operator="between">
      <formula>0.1</formula>
      <formula>0.999</formula>
    </cfRule>
    <cfRule type="cellIs" dxfId="795" priority="1124" operator="between">
      <formula>1</formula>
      <formula>10</formula>
    </cfRule>
    <cfRule type="cellIs" dxfId="794" priority="1123" operator="greaterThanOrEqual">
      <formula>10</formula>
    </cfRule>
  </conditionalFormatting>
  <conditionalFormatting sqref="O147:R147">
    <cfRule type="expression" dxfId="793" priority="1115">
      <formula>O147&lt;O$4</formula>
    </cfRule>
    <cfRule type="cellIs" dxfId="792" priority="1116" operator="greaterThanOrEqual">
      <formula>10000</formula>
    </cfRule>
    <cfRule type="cellIs" dxfId="791" priority="1117" operator="greaterThanOrEqual">
      <formula>10</formula>
    </cfRule>
    <cfRule type="cellIs" dxfId="790" priority="1118" operator="between">
      <formula>1</formula>
      <formula>10</formula>
    </cfRule>
    <cfRule type="cellIs" dxfId="789" priority="1120" operator="lessThan">
      <formula>0.1</formula>
    </cfRule>
    <cfRule type="cellIs" dxfId="788" priority="1119" operator="between">
      <formula>0.1</formula>
      <formula>0.999</formula>
    </cfRule>
  </conditionalFormatting>
  <conditionalFormatting sqref="O149:R149">
    <cfRule type="cellIs" dxfId="787" priority="1113" operator="between">
      <formula>0.1</formula>
      <formula>0.999</formula>
    </cfRule>
    <cfRule type="cellIs" dxfId="786" priority="1114" operator="lessThan">
      <formula>0.1</formula>
    </cfRule>
    <cfRule type="expression" dxfId="785" priority="1109">
      <formula>O149&lt;O$4</formula>
    </cfRule>
    <cfRule type="cellIs" dxfId="784" priority="1110" operator="greaterThanOrEqual">
      <formula>10000</formula>
    </cfRule>
    <cfRule type="cellIs" dxfId="783" priority="1111" operator="greaterThanOrEqual">
      <formula>10</formula>
    </cfRule>
    <cfRule type="cellIs" dxfId="782" priority="1112" operator="between">
      <formula>1</formula>
      <formula>10</formula>
    </cfRule>
  </conditionalFormatting>
  <conditionalFormatting sqref="O151:R151">
    <cfRule type="cellIs" dxfId="781" priority="1107" operator="between">
      <formula>0.1</formula>
      <formula>0.999</formula>
    </cfRule>
    <cfRule type="expression" dxfId="780" priority="1103">
      <formula>O151&lt;O$4</formula>
    </cfRule>
    <cfRule type="cellIs" dxfId="779" priority="1104" operator="greaterThanOrEqual">
      <formula>10000</formula>
    </cfRule>
    <cfRule type="cellIs" dxfId="778" priority="1105" operator="greaterThanOrEqual">
      <formula>10</formula>
    </cfRule>
    <cfRule type="cellIs" dxfId="777" priority="1106" operator="between">
      <formula>1</formula>
      <formula>10</formula>
    </cfRule>
    <cfRule type="cellIs" dxfId="776" priority="1108" operator="lessThan">
      <formula>0.1</formula>
    </cfRule>
  </conditionalFormatting>
  <conditionalFormatting sqref="O153:R153">
    <cfRule type="cellIs" dxfId="775" priority="1098" operator="greaterThanOrEqual">
      <formula>10000</formula>
    </cfRule>
    <cfRule type="expression" dxfId="774" priority="1097">
      <formula>O153&lt;O$4</formula>
    </cfRule>
    <cfRule type="cellIs" dxfId="773" priority="1099" operator="greaterThanOrEqual">
      <formula>10</formula>
    </cfRule>
    <cfRule type="cellIs" dxfId="772" priority="1100" operator="between">
      <formula>1</formula>
      <formula>10</formula>
    </cfRule>
    <cfRule type="cellIs" dxfId="771" priority="1102" operator="lessThan">
      <formula>0.1</formula>
    </cfRule>
    <cfRule type="cellIs" dxfId="770" priority="1101" operator="between">
      <formula>0.1</formula>
      <formula>0.999</formula>
    </cfRule>
  </conditionalFormatting>
  <conditionalFormatting sqref="O154:R154">
    <cfRule type="cellIs" dxfId="769" priority="1578" operator="lessThan">
      <formula>30</formula>
    </cfRule>
  </conditionalFormatting>
  <conditionalFormatting sqref="O155:R155">
    <cfRule type="cellIs" dxfId="768" priority="1092" operator="greaterThanOrEqual">
      <formula>10000</formula>
    </cfRule>
    <cfRule type="expression" dxfId="767" priority="1091">
      <formula>O155&lt;O$4</formula>
    </cfRule>
    <cfRule type="cellIs" dxfId="766" priority="1093" operator="greaterThanOrEqual">
      <formula>10</formula>
    </cfRule>
    <cfRule type="cellIs" dxfId="765" priority="1095" operator="between">
      <formula>0.1</formula>
      <formula>0.999</formula>
    </cfRule>
    <cfRule type="cellIs" dxfId="764" priority="1094" operator="between">
      <formula>1</formula>
      <formula>10</formula>
    </cfRule>
    <cfRule type="cellIs" dxfId="763" priority="1096" operator="lessThan">
      <formula>0.1</formula>
    </cfRule>
  </conditionalFormatting>
  <conditionalFormatting sqref="O157:R157">
    <cfRule type="cellIs" dxfId="762" priority="774" operator="greaterThanOrEqual">
      <formula>10000</formula>
    </cfRule>
    <cfRule type="expression" dxfId="761" priority="773">
      <formula>O157&lt;O$4</formula>
    </cfRule>
    <cfRule type="cellIs" dxfId="760" priority="775" operator="greaterThanOrEqual">
      <formula>10</formula>
    </cfRule>
    <cfRule type="cellIs" dxfId="759" priority="776" operator="between">
      <formula>1</formula>
      <formula>10</formula>
    </cfRule>
    <cfRule type="cellIs" dxfId="758" priority="777" operator="between">
      <formula>0.1</formula>
      <formula>0.999</formula>
    </cfRule>
    <cfRule type="cellIs" dxfId="757" priority="778" operator="lessThan">
      <formula>0.1</formula>
    </cfRule>
  </conditionalFormatting>
  <conditionalFormatting sqref="O159:R159">
    <cfRule type="expression" dxfId="756" priority="767">
      <formula>O159&lt;O$4</formula>
    </cfRule>
    <cfRule type="cellIs" dxfId="755" priority="768" operator="greaterThanOrEqual">
      <formula>10000</formula>
    </cfRule>
    <cfRule type="cellIs" dxfId="754" priority="769" operator="greaterThanOrEqual">
      <formula>10</formula>
    </cfRule>
    <cfRule type="cellIs" dxfId="753" priority="770" operator="between">
      <formula>1</formula>
      <formula>10</formula>
    </cfRule>
    <cfRule type="cellIs" dxfId="752" priority="771" operator="between">
      <formula>0.1</formula>
      <formula>0.999</formula>
    </cfRule>
    <cfRule type="cellIs" dxfId="751" priority="772" operator="lessThan">
      <formula>0.1</formula>
    </cfRule>
  </conditionalFormatting>
  <conditionalFormatting sqref="O161:R161">
    <cfRule type="expression" dxfId="750" priority="205">
      <formula>O161&lt;O$4</formula>
    </cfRule>
    <cfRule type="cellIs" dxfId="749" priority="206" operator="greaterThanOrEqual">
      <formula>10000</formula>
    </cfRule>
    <cfRule type="cellIs" dxfId="748" priority="207" operator="greaterThanOrEqual">
      <formula>10</formula>
    </cfRule>
    <cfRule type="cellIs" dxfId="747" priority="208" operator="between">
      <formula>1</formula>
      <formula>10</formula>
    </cfRule>
    <cfRule type="cellIs" dxfId="746" priority="209" operator="between">
      <formula>0.1</formula>
      <formula>0.999</formula>
    </cfRule>
    <cfRule type="cellIs" dxfId="745" priority="210" operator="lessThan">
      <formula>0.1</formula>
    </cfRule>
  </conditionalFormatting>
  <conditionalFormatting sqref="O163:R163">
    <cfRule type="cellIs" dxfId="744" priority="203" operator="between">
      <formula>0.1</formula>
      <formula>0.999</formula>
    </cfRule>
    <cfRule type="cellIs" dxfId="743" priority="202" operator="between">
      <formula>1</formula>
      <formula>10</formula>
    </cfRule>
    <cfRule type="cellIs" dxfId="742" priority="201" operator="greaterThanOrEqual">
      <formula>10</formula>
    </cfRule>
    <cfRule type="cellIs" dxfId="741" priority="200" operator="greaterThanOrEqual">
      <formula>10000</formula>
    </cfRule>
    <cfRule type="expression" dxfId="740" priority="199">
      <formula>O163&lt;O$4</formula>
    </cfRule>
    <cfRule type="cellIs" dxfId="739" priority="204" operator="lessThan">
      <formula>0.1</formula>
    </cfRule>
  </conditionalFormatting>
  <conditionalFormatting sqref="O165:R165">
    <cfRule type="cellIs" dxfId="738" priority="220" operator="between">
      <formula>1</formula>
      <formula>10</formula>
    </cfRule>
    <cfRule type="cellIs" dxfId="737" priority="222" operator="lessThan">
      <formula>0.1</formula>
    </cfRule>
    <cfRule type="expression" dxfId="736" priority="217">
      <formula>O165&lt;O$4</formula>
    </cfRule>
    <cfRule type="cellIs" dxfId="735" priority="218" operator="greaterThanOrEqual">
      <formula>10000</formula>
    </cfRule>
    <cfRule type="cellIs" dxfId="734" priority="219" operator="greaterThanOrEqual">
      <formula>10</formula>
    </cfRule>
    <cfRule type="cellIs" dxfId="733" priority="221" operator="between">
      <formula>0.1</formula>
      <formula>0.999</formula>
    </cfRule>
  </conditionalFormatting>
  <conditionalFormatting sqref="O167:R167">
    <cfRule type="expression" dxfId="732" priority="211">
      <formula>O167&lt;O$4</formula>
    </cfRule>
    <cfRule type="cellIs" dxfId="731" priority="212" operator="greaterThanOrEqual">
      <formula>10000</formula>
    </cfRule>
    <cfRule type="cellIs" dxfId="730" priority="213" operator="greaterThanOrEqual">
      <formula>10</formula>
    </cfRule>
    <cfRule type="cellIs" dxfId="729" priority="214" operator="between">
      <formula>1</formula>
      <formula>10</formula>
    </cfRule>
    <cfRule type="cellIs" dxfId="728" priority="215" operator="between">
      <formula>0.1</formula>
      <formula>0.999</formula>
    </cfRule>
    <cfRule type="cellIs" dxfId="727" priority="216" operator="lessThan">
      <formula>0.1</formula>
    </cfRule>
  </conditionalFormatting>
  <conditionalFormatting sqref="O169:R169">
    <cfRule type="cellIs" dxfId="726" priority="254" operator="greaterThanOrEqual">
      <formula>10000</formula>
    </cfRule>
    <cfRule type="expression" dxfId="725" priority="253">
      <formula>O169&lt;O$4</formula>
    </cfRule>
    <cfRule type="cellIs" dxfId="724" priority="255" operator="greaterThanOrEqual">
      <formula>10</formula>
    </cfRule>
    <cfRule type="cellIs" dxfId="723" priority="256" operator="between">
      <formula>1</formula>
      <formula>10</formula>
    </cfRule>
    <cfRule type="cellIs" dxfId="722" priority="257" operator="between">
      <formula>0.1</formula>
      <formula>0.999</formula>
    </cfRule>
    <cfRule type="cellIs" dxfId="721" priority="258" operator="lessThan">
      <formula>0.1</formula>
    </cfRule>
  </conditionalFormatting>
  <conditionalFormatting sqref="O171:R171">
    <cfRule type="cellIs" dxfId="720" priority="252" operator="lessThan">
      <formula>0.1</formula>
    </cfRule>
    <cfRule type="cellIs" dxfId="719" priority="251" operator="between">
      <formula>0.1</formula>
      <formula>0.999</formula>
    </cfRule>
    <cfRule type="cellIs" dxfId="718" priority="250" operator="between">
      <formula>1</formula>
      <formula>10</formula>
    </cfRule>
    <cfRule type="cellIs" dxfId="717" priority="249" operator="greaterThanOrEqual">
      <formula>10</formula>
    </cfRule>
    <cfRule type="cellIs" dxfId="716" priority="248" operator="greaterThanOrEqual">
      <formula>10000</formula>
    </cfRule>
    <cfRule type="expression" dxfId="715" priority="247">
      <formula>O171&lt;O$4</formula>
    </cfRule>
  </conditionalFormatting>
  <conditionalFormatting sqref="O173:R173">
    <cfRule type="expression" dxfId="714" priority="105">
      <formula>O173&lt;O$4</formula>
    </cfRule>
    <cfRule type="cellIs" dxfId="713" priority="106" operator="greaterThanOrEqual">
      <formula>10000</formula>
    </cfRule>
    <cfRule type="cellIs" dxfId="712" priority="107" operator="greaterThanOrEqual">
      <formula>10</formula>
    </cfRule>
    <cfRule type="cellIs" dxfId="711" priority="108" operator="between">
      <formula>1</formula>
      <formula>10</formula>
    </cfRule>
    <cfRule type="cellIs" dxfId="710" priority="109" operator="between">
      <formula>0.1</formula>
      <formula>0.999</formula>
    </cfRule>
    <cfRule type="cellIs" dxfId="709" priority="110" operator="lessThan">
      <formula>0.1</formula>
    </cfRule>
  </conditionalFormatting>
  <conditionalFormatting sqref="O175:R175">
    <cfRule type="expression" dxfId="708" priority="99">
      <formula>O175&lt;O$4</formula>
    </cfRule>
    <cfRule type="cellIs" dxfId="707" priority="100" operator="greaterThanOrEqual">
      <formula>10000</formula>
    </cfRule>
    <cfRule type="cellIs" dxfId="706" priority="101" operator="greaterThanOrEqual">
      <formula>10</formula>
    </cfRule>
    <cfRule type="cellIs" dxfId="705" priority="102" operator="between">
      <formula>1</formula>
      <formula>10</formula>
    </cfRule>
    <cfRule type="cellIs" dxfId="704" priority="104" operator="lessThan">
      <formula>0.1</formula>
    </cfRule>
    <cfRule type="cellIs" dxfId="703" priority="103" operator="between">
      <formula>0.1</formula>
      <formula>0.999</formula>
    </cfRule>
  </conditionalFormatting>
  <conditionalFormatting sqref="O177:R177">
    <cfRule type="expression" dxfId="702" priority="761">
      <formula>O177&lt;O$4</formula>
    </cfRule>
    <cfRule type="cellIs" dxfId="701" priority="764" operator="between">
      <formula>1</formula>
      <formula>10</formula>
    </cfRule>
    <cfRule type="cellIs" dxfId="700" priority="762" operator="greaterThanOrEqual">
      <formula>10000</formula>
    </cfRule>
    <cfRule type="cellIs" dxfId="699" priority="763" operator="greaterThanOrEqual">
      <formula>10</formula>
    </cfRule>
    <cfRule type="cellIs" dxfId="698" priority="765" operator="between">
      <formula>0.1</formula>
      <formula>0.999</formula>
    </cfRule>
    <cfRule type="cellIs" dxfId="697" priority="766" operator="lessThan">
      <formula>0.1</formula>
    </cfRule>
  </conditionalFormatting>
  <conditionalFormatting sqref="O179:R179">
    <cfRule type="expression" dxfId="696" priority="755">
      <formula>O179&lt;O$4</formula>
    </cfRule>
    <cfRule type="cellIs" dxfId="695" priority="756" operator="greaterThanOrEqual">
      <formula>10000</formula>
    </cfRule>
    <cfRule type="cellIs" dxfId="694" priority="757" operator="greaterThanOrEqual">
      <formula>10</formula>
    </cfRule>
    <cfRule type="cellIs" dxfId="693" priority="758" operator="between">
      <formula>1</formula>
      <formula>10</formula>
    </cfRule>
    <cfRule type="cellIs" dxfId="692" priority="759" operator="between">
      <formula>0.1</formula>
      <formula>0.999</formula>
    </cfRule>
    <cfRule type="cellIs" dxfId="691" priority="760" operator="lessThan">
      <formula>0.1</formula>
    </cfRule>
  </conditionalFormatting>
  <conditionalFormatting sqref="O181:R181">
    <cfRule type="cellIs" dxfId="690" priority="874" operator="lessThan">
      <formula>0.1</formula>
    </cfRule>
    <cfRule type="cellIs" dxfId="689" priority="873" operator="between">
      <formula>0.1</formula>
      <formula>0.999</formula>
    </cfRule>
    <cfRule type="cellIs" dxfId="688" priority="872" operator="between">
      <formula>1</formula>
      <formula>10</formula>
    </cfRule>
    <cfRule type="cellIs" dxfId="687" priority="871" operator="greaterThanOrEqual">
      <formula>10</formula>
    </cfRule>
    <cfRule type="cellIs" dxfId="686" priority="870" operator="greaterThanOrEqual">
      <formula>10000</formula>
    </cfRule>
    <cfRule type="expression" dxfId="685" priority="869">
      <formula>O181&lt;O$4</formula>
    </cfRule>
  </conditionalFormatting>
  <conditionalFormatting sqref="O183:R183">
    <cfRule type="cellIs" dxfId="684" priority="868" operator="lessThan">
      <formula>0.1</formula>
    </cfRule>
    <cfRule type="cellIs" dxfId="683" priority="867" operator="between">
      <formula>0.1</formula>
      <formula>0.999</formula>
    </cfRule>
    <cfRule type="cellIs" dxfId="682" priority="866" operator="between">
      <formula>1</formula>
      <formula>10</formula>
    </cfRule>
    <cfRule type="cellIs" dxfId="681" priority="865" operator="greaterThanOrEqual">
      <formula>10</formula>
    </cfRule>
    <cfRule type="cellIs" dxfId="680" priority="864" operator="greaterThanOrEqual">
      <formula>10000</formula>
    </cfRule>
    <cfRule type="expression" dxfId="679" priority="863">
      <formula>O183&lt;O$4</formula>
    </cfRule>
  </conditionalFormatting>
  <conditionalFormatting sqref="O185:R185">
    <cfRule type="cellIs" dxfId="678" priority="23" operator="between">
      <formula>0.1</formula>
      <formula>0.999</formula>
    </cfRule>
    <cfRule type="cellIs" dxfId="677" priority="22" operator="between">
      <formula>1</formula>
      <formula>10</formula>
    </cfRule>
    <cfRule type="cellIs" dxfId="676" priority="21" operator="greaterThanOrEqual">
      <formula>10</formula>
    </cfRule>
    <cfRule type="cellIs" dxfId="675" priority="20" operator="greaterThanOrEqual">
      <formula>10000</formula>
    </cfRule>
    <cfRule type="expression" dxfId="674" priority="19">
      <formula>O185&lt;O$4</formula>
    </cfRule>
    <cfRule type="cellIs" dxfId="673" priority="24" operator="lessThan">
      <formula>0.1</formula>
    </cfRule>
  </conditionalFormatting>
  <conditionalFormatting sqref="O187:R187">
    <cfRule type="cellIs" dxfId="672" priority="15" operator="greaterThanOrEqual">
      <formula>10</formula>
    </cfRule>
    <cfRule type="cellIs" dxfId="671" priority="17" operator="between">
      <formula>0.1</formula>
      <formula>0.999</formula>
    </cfRule>
    <cfRule type="cellIs" dxfId="670" priority="18" operator="lessThan">
      <formula>0.1</formula>
    </cfRule>
    <cfRule type="cellIs" dxfId="669" priority="14" operator="greaterThanOrEqual">
      <formula>10000</formula>
    </cfRule>
    <cfRule type="cellIs" dxfId="668" priority="16" operator="between">
      <formula>1</formula>
      <formula>10</formula>
    </cfRule>
    <cfRule type="expression" dxfId="667" priority="13">
      <formula>O187&lt;O$4</formula>
    </cfRule>
  </conditionalFormatting>
  <conditionalFormatting sqref="O189:R189">
    <cfRule type="cellIs" dxfId="666" priority="850" operator="lessThan">
      <formula>0.1</formula>
    </cfRule>
    <cfRule type="expression" dxfId="665" priority="845">
      <formula>O189&lt;O$4</formula>
    </cfRule>
    <cfRule type="cellIs" dxfId="664" priority="849" operator="between">
      <formula>0.1</formula>
      <formula>0.999</formula>
    </cfRule>
    <cfRule type="cellIs" dxfId="663" priority="848" operator="between">
      <formula>1</formula>
      <formula>10</formula>
    </cfRule>
    <cfRule type="cellIs" dxfId="662" priority="847" operator="greaterThanOrEqual">
      <formula>10</formula>
    </cfRule>
    <cfRule type="cellIs" dxfId="661" priority="846" operator="greaterThanOrEqual">
      <formula>10000</formula>
    </cfRule>
  </conditionalFormatting>
  <conditionalFormatting sqref="O191:R191">
    <cfRule type="cellIs" dxfId="660" priority="840" operator="greaterThanOrEqual">
      <formula>10000</formula>
    </cfRule>
    <cfRule type="cellIs" dxfId="659" priority="842" operator="between">
      <formula>1</formula>
      <formula>10</formula>
    </cfRule>
    <cfRule type="cellIs" dxfId="658" priority="841" operator="greaterThanOrEqual">
      <formula>10</formula>
    </cfRule>
    <cfRule type="cellIs" dxfId="657" priority="844" operator="lessThan">
      <formula>0.1</formula>
    </cfRule>
    <cfRule type="expression" dxfId="656" priority="839">
      <formula>O191&lt;O$4</formula>
    </cfRule>
    <cfRule type="cellIs" dxfId="655" priority="843" operator="between">
      <formula>0.1</formula>
      <formula>0.999</formula>
    </cfRule>
  </conditionalFormatting>
  <conditionalFormatting sqref="O193:R193">
    <cfRule type="cellIs" dxfId="654" priority="837" operator="between">
      <formula>0.1</formula>
      <formula>0.999</formula>
    </cfRule>
    <cfRule type="expression" dxfId="653" priority="833">
      <formula>O193&lt;O$4</formula>
    </cfRule>
    <cfRule type="cellIs" dxfId="652" priority="838" operator="lessThan">
      <formula>0.1</formula>
    </cfRule>
    <cfRule type="cellIs" dxfId="651" priority="835" operator="greaterThanOrEqual">
      <formula>10</formula>
    </cfRule>
    <cfRule type="cellIs" dxfId="650" priority="834" operator="greaterThanOrEqual">
      <formula>10000</formula>
    </cfRule>
    <cfRule type="cellIs" dxfId="649" priority="836" operator="between">
      <formula>1</formula>
      <formula>10</formula>
    </cfRule>
  </conditionalFormatting>
  <conditionalFormatting sqref="O195:R195">
    <cfRule type="expression" dxfId="648" priority="827">
      <formula>O195&lt;O$4</formula>
    </cfRule>
    <cfRule type="cellIs" dxfId="647" priority="831" operator="between">
      <formula>0.1</formula>
      <formula>0.999</formula>
    </cfRule>
    <cfRule type="cellIs" dxfId="646" priority="829" operator="greaterThanOrEqual">
      <formula>10</formula>
    </cfRule>
    <cfRule type="cellIs" dxfId="645" priority="828" operator="greaterThanOrEqual">
      <formula>10000</formula>
    </cfRule>
    <cfRule type="cellIs" dxfId="644" priority="832" operator="lessThan">
      <formula>0.1</formula>
    </cfRule>
    <cfRule type="cellIs" dxfId="643" priority="830" operator="between">
      <formula>1</formula>
      <formula>10</formula>
    </cfRule>
  </conditionalFormatting>
  <conditionalFormatting sqref="O197:R197">
    <cfRule type="cellIs" dxfId="642" priority="243" operator="greaterThanOrEqual">
      <formula>10</formula>
    </cfRule>
    <cfRule type="expression" dxfId="641" priority="241">
      <formula>O197&lt;O$4</formula>
    </cfRule>
    <cfRule type="cellIs" dxfId="640" priority="242" operator="greaterThanOrEqual">
      <formula>10000</formula>
    </cfRule>
    <cfRule type="cellIs" dxfId="639" priority="244" operator="between">
      <formula>1</formula>
      <formula>10</formula>
    </cfRule>
    <cfRule type="cellIs" dxfId="638" priority="245" operator="between">
      <formula>0.1</formula>
      <formula>0.999</formula>
    </cfRule>
    <cfRule type="cellIs" dxfId="637" priority="246" operator="lessThan">
      <formula>0.1</formula>
    </cfRule>
  </conditionalFormatting>
  <conditionalFormatting sqref="O199:R199">
    <cfRule type="cellIs" dxfId="636" priority="236" operator="greaterThanOrEqual">
      <formula>10000</formula>
    </cfRule>
    <cfRule type="cellIs" dxfId="635" priority="240" operator="lessThan">
      <formula>0.1</formula>
    </cfRule>
    <cfRule type="cellIs" dxfId="634" priority="239" operator="between">
      <formula>0.1</formula>
      <formula>0.999</formula>
    </cfRule>
    <cfRule type="cellIs" dxfId="633" priority="238" operator="between">
      <formula>1</formula>
      <formula>10</formula>
    </cfRule>
    <cfRule type="cellIs" dxfId="632" priority="237" operator="greaterThanOrEqual">
      <formula>10</formula>
    </cfRule>
    <cfRule type="expression" dxfId="631" priority="235">
      <formula>O199&lt;O$4</formula>
    </cfRule>
  </conditionalFormatting>
  <conditionalFormatting sqref="O201:R201">
    <cfRule type="cellIs" dxfId="630" priority="814" operator="lessThan">
      <formula>0.1</formula>
    </cfRule>
    <cfRule type="cellIs" dxfId="629" priority="813" operator="between">
      <formula>0.1</formula>
      <formula>0.999</formula>
    </cfRule>
    <cfRule type="cellIs" dxfId="628" priority="812" operator="between">
      <formula>1</formula>
      <formula>10</formula>
    </cfRule>
    <cfRule type="cellIs" dxfId="627" priority="811" operator="greaterThanOrEqual">
      <formula>10</formula>
    </cfRule>
    <cfRule type="cellIs" dxfId="626" priority="810" operator="greaterThanOrEqual">
      <formula>10000</formula>
    </cfRule>
    <cfRule type="expression" dxfId="625" priority="809">
      <formula>O201&lt;O$4</formula>
    </cfRule>
  </conditionalFormatting>
  <conditionalFormatting sqref="O203:R203">
    <cfRule type="cellIs" dxfId="624" priority="808" operator="lessThan">
      <formula>0.1</formula>
    </cfRule>
    <cfRule type="expression" dxfId="623" priority="803">
      <formula>O203&lt;O$4</formula>
    </cfRule>
    <cfRule type="cellIs" dxfId="622" priority="804" operator="greaterThanOrEqual">
      <formula>10000</formula>
    </cfRule>
    <cfRule type="cellIs" dxfId="621" priority="805" operator="greaterThanOrEqual">
      <formula>10</formula>
    </cfRule>
    <cfRule type="cellIs" dxfId="620" priority="806" operator="between">
      <formula>1</formula>
      <formula>10</formula>
    </cfRule>
    <cfRule type="cellIs" dxfId="619" priority="807" operator="between">
      <formula>0.1</formula>
      <formula>0.999</formula>
    </cfRule>
  </conditionalFormatting>
  <conditionalFormatting sqref="O205:R205">
    <cfRule type="expression" dxfId="618" priority="91">
      <formula>O205&lt;O$4</formula>
    </cfRule>
    <cfRule type="cellIs" dxfId="617" priority="92" operator="greaterThanOrEqual">
      <formula>10000</formula>
    </cfRule>
    <cfRule type="cellIs" dxfId="616" priority="93" operator="greaterThanOrEqual">
      <formula>10</formula>
    </cfRule>
    <cfRule type="cellIs" dxfId="615" priority="94" operator="between">
      <formula>1</formula>
      <formula>10</formula>
    </cfRule>
    <cfRule type="cellIs" dxfId="614" priority="95" operator="between">
      <formula>0.1</formula>
      <formula>0.999</formula>
    </cfRule>
    <cfRule type="cellIs" dxfId="613" priority="96" operator="lessThan">
      <formula>0.1</formula>
    </cfRule>
  </conditionalFormatting>
  <conditionalFormatting sqref="O207:R207">
    <cfRule type="expression" dxfId="612" priority="85">
      <formula>O207&lt;O$4</formula>
    </cfRule>
    <cfRule type="cellIs" dxfId="611" priority="86" operator="greaterThanOrEqual">
      <formula>10000</formula>
    </cfRule>
    <cfRule type="cellIs" dxfId="610" priority="87" operator="greaterThanOrEqual">
      <formula>10</formula>
    </cfRule>
    <cfRule type="cellIs" dxfId="609" priority="88" operator="between">
      <formula>1</formula>
      <formula>10</formula>
    </cfRule>
    <cfRule type="cellIs" dxfId="608" priority="89" operator="between">
      <formula>0.1</formula>
      <formula>0.999</formula>
    </cfRule>
    <cfRule type="cellIs" dxfId="607" priority="90" operator="lessThan">
      <formula>0.1</formula>
    </cfRule>
  </conditionalFormatting>
  <conditionalFormatting sqref="O209:R209">
    <cfRule type="cellIs" dxfId="606" priority="801" operator="between">
      <formula>0.1</formula>
      <formula>0.999</formula>
    </cfRule>
    <cfRule type="cellIs" dxfId="605" priority="802" operator="lessThan">
      <formula>0.1</formula>
    </cfRule>
    <cfRule type="cellIs" dxfId="604" priority="800" operator="between">
      <formula>1</formula>
      <formula>10</formula>
    </cfRule>
    <cfRule type="cellIs" dxfId="603" priority="799" operator="greaterThanOrEqual">
      <formula>10</formula>
    </cfRule>
    <cfRule type="cellIs" dxfId="602" priority="798" operator="greaterThanOrEqual">
      <formula>10000</formula>
    </cfRule>
    <cfRule type="expression" dxfId="601" priority="797">
      <formula>O209&lt;O$4</formula>
    </cfRule>
  </conditionalFormatting>
  <conditionalFormatting sqref="O211:R211">
    <cfRule type="cellIs" dxfId="600" priority="794" operator="between">
      <formula>1</formula>
      <formula>10</formula>
    </cfRule>
    <cfRule type="cellIs" dxfId="599" priority="793" operator="greaterThanOrEqual">
      <formula>10</formula>
    </cfRule>
    <cfRule type="cellIs" dxfId="598" priority="792" operator="greaterThanOrEqual">
      <formula>10000</formula>
    </cfRule>
    <cfRule type="cellIs" dxfId="597" priority="796" operator="lessThan">
      <formula>0.1</formula>
    </cfRule>
    <cfRule type="expression" dxfId="596" priority="791">
      <formula>O211&lt;O$4</formula>
    </cfRule>
    <cfRule type="cellIs" dxfId="595" priority="795" operator="between">
      <formula>0.1</formula>
      <formula>0.999</formula>
    </cfRule>
  </conditionalFormatting>
  <conditionalFormatting sqref="O213:R213">
    <cfRule type="expression" dxfId="594" priority="929">
      <formula>O213&lt;O$4</formula>
    </cfRule>
    <cfRule type="cellIs" dxfId="593" priority="930" operator="greaterThanOrEqual">
      <formula>10000</formula>
    </cfRule>
    <cfRule type="cellIs" dxfId="592" priority="931" operator="greaterThanOrEqual">
      <formula>10</formula>
    </cfRule>
    <cfRule type="cellIs" dxfId="591" priority="932" operator="between">
      <formula>1</formula>
      <formula>10</formula>
    </cfRule>
    <cfRule type="cellIs" dxfId="590" priority="934" operator="lessThan">
      <formula>0.1</formula>
    </cfRule>
    <cfRule type="cellIs" dxfId="589" priority="933" operator="between">
      <formula>0.1</formula>
      <formula>0.999</formula>
    </cfRule>
  </conditionalFormatting>
  <conditionalFormatting sqref="O215:R215">
    <cfRule type="cellIs" dxfId="588" priority="928" operator="lessThan">
      <formula>0.1</formula>
    </cfRule>
    <cfRule type="cellIs" dxfId="587" priority="927" operator="between">
      <formula>0.1</formula>
      <formula>0.999</formula>
    </cfRule>
    <cfRule type="cellIs" dxfId="586" priority="926" operator="between">
      <formula>1</formula>
      <formula>10</formula>
    </cfRule>
    <cfRule type="cellIs" dxfId="585" priority="925" operator="greaterThanOrEqual">
      <formula>10</formula>
    </cfRule>
    <cfRule type="cellIs" dxfId="584" priority="924" operator="greaterThanOrEqual">
      <formula>10000</formula>
    </cfRule>
    <cfRule type="expression" dxfId="583" priority="923">
      <formula>O215&lt;O$4</formula>
    </cfRule>
  </conditionalFormatting>
  <conditionalFormatting sqref="O217:R217">
    <cfRule type="cellIs" dxfId="582" priority="918" operator="greaterThanOrEqual">
      <formula>10000</formula>
    </cfRule>
    <cfRule type="expression" dxfId="581" priority="917">
      <formula>O217&lt;O$4</formula>
    </cfRule>
    <cfRule type="cellIs" dxfId="580" priority="922" operator="lessThan">
      <formula>0.1</formula>
    </cfRule>
    <cfRule type="cellIs" dxfId="579" priority="921" operator="between">
      <formula>0.1</formula>
      <formula>0.999</formula>
    </cfRule>
    <cfRule type="cellIs" dxfId="578" priority="920" operator="between">
      <formula>1</formula>
      <formula>10</formula>
    </cfRule>
    <cfRule type="cellIs" dxfId="577" priority="919" operator="greaterThanOrEqual">
      <formula>10</formula>
    </cfRule>
  </conditionalFormatting>
  <conditionalFormatting sqref="O219:R219">
    <cfRule type="cellIs" dxfId="576" priority="913" operator="greaterThanOrEqual">
      <formula>10</formula>
    </cfRule>
    <cfRule type="cellIs" dxfId="575" priority="912" operator="greaterThanOrEqual">
      <formula>10000</formula>
    </cfRule>
    <cfRule type="expression" dxfId="574" priority="911">
      <formula>O219&lt;O$4</formula>
    </cfRule>
    <cfRule type="cellIs" dxfId="573" priority="916" operator="lessThan">
      <formula>0.1</formula>
    </cfRule>
    <cfRule type="cellIs" dxfId="572" priority="915" operator="between">
      <formula>0.1</formula>
      <formula>0.999</formula>
    </cfRule>
    <cfRule type="cellIs" dxfId="571" priority="914" operator="between">
      <formula>1</formula>
      <formula>10</formula>
    </cfRule>
  </conditionalFormatting>
  <conditionalFormatting sqref="O221:R221">
    <cfRule type="cellIs" dxfId="570" priority="12" operator="lessThan">
      <formula>0.1</formula>
    </cfRule>
    <cfRule type="cellIs" dxfId="569" priority="9" operator="greaterThanOrEqual">
      <formula>10</formula>
    </cfRule>
    <cfRule type="cellIs" dxfId="568" priority="8" operator="greaterThanOrEqual">
      <formula>10000</formula>
    </cfRule>
    <cfRule type="expression" dxfId="567" priority="7">
      <formula>O221&lt;O$4</formula>
    </cfRule>
    <cfRule type="cellIs" dxfId="566" priority="11" operator="between">
      <formula>0.1</formula>
      <formula>0.999</formula>
    </cfRule>
    <cfRule type="cellIs" dxfId="565" priority="10" operator="between">
      <formula>1</formula>
      <formula>10</formula>
    </cfRule>
  </conditionalFormatting>
  <conditionalFormatting sqref="O223:R223">
    <cfRule type="cellIs" dxfId="564" priority="3" operator="greaterThanOrEqual">
      <formula>10</formula>
    </cfRule>
    <cfRule type="cellIs" dxfId="563" priority="2" operator="greaterThanOrEqual">
      <formula>10000</formula>
    </cfRule>
    <cfRule type="cellIs" dxfId="562" priority="4" operator="between">
      <formula>1</formula>
      <formula>10</formula>
    </cfRule>
    <cfRule type="cellIs" dxfId="561" priority="5" operator="between">
      <formula>0.1</formula>
      <formula>0.999</formula>
    </cfRule>
    <cfRule type="cellIs" dxfId="560" priority="6" operator="lessThan">
      <formula>0.1</formula>
    </cfRule>
    <cfRule type="expression" dxfId="559" priority="1">
      <formula>O223&lt;O$4</formula>
    </cfRule>
  </conditionalFormatting>
  <conditionalFormatting sqref="O225:R225">
    <cfRule type="cellIs" dxfId="558" priority="907" operator="greaterThanOrEqual">
      <formula>10</formula>
    </cfRule>
    <cfRule type="cellIs" dxfId="557" priority="908" operator="between">
      <formula>1</formula>
      <formula>10</formula>
    </cfRule>
    <cfRule type="cellIs" dxfId="556" priority="906" operator="greaterThanOrEqual">
      <formula>10000</formula>
    </cfRule>
    <cfRule type="cellIs" dxfId="555" priority="910" operator="lessThan">
      <formula>0.1</formula>
    </cfRule>
    <cfRule type="expression" dxfId="554" priority="905">
      <formula>O225&lt;O$4</formula>
    </cfRule>
    <cfRule type="cellIs" dxfId="553" priority="909" operator="between">
      <formula>0.1</formula>
      <formula>0.999</formula>
    </cfRule>
  </conditionalFormatting>
  <conditionalFormatting sqref="O227:R227">
    <cfRule type="cellIs" dxfId="552" priority="904" operator="lessThan">
      <formula>0.1</formula>
    </cfRule>
    <cfRule type="cellIs" dxfId="551" priority="903" operator="between">
      <formula>0.1</formula>
      <formula>0.999</formula>
    </cfRule>
    <cfRule type="cellIs" dxfId="550" priority="902" operator="between">
      <formula>1</formula>
      <formula>10</formula>
    </cfRule>
    <cfRule type="cellIs" dxfId="549" priority="900" operator="greaterThanOrEqual">
      <formula>10000</formula>
    </cfRule>
    <cfRule type="cellIs" dxfId="548" priority="901" operator="greaterThanOrEqual">
      <formula>10</formula>
    </cfRule>
    <cfRule type="expression" dxfId="547" priority="899">
      <formula>O227&lt;O$4</formula>
    </cfRule>
  </conditionalFormatting>
  <conditionalFormatting sqref="O229:R229">
    <cfRule type="expression" dxfId="546" priority="893">
      <formula>O229&lt;O$4</formula>
    </cfRule>
    <cfRule type="cellIs" dxfId="545" priority="895" operator="greaterThanOrEqual">
      <formula>10</formula>
    </cfRule>
    <cfRule type="cellIs" dxfId="544" priority="896" operator="between">
      <formula>1</formula>
      <formula>10</formula>
    </cfRule>
    <cfRule type="cellIs" dxfId="543" priority="898" operator="lessThan">
      <formula>0.1</formula>
    </cfRule>
    <cfRule type="cellIs" dxfId="542" priority="897" operator="between">
      <formula>0.1</formula>
      <formula>0.999</formula>
    </cfRule>
    <cfRule type="cellIs" dxfId="541" priority="894" operator="greaterThanOrEqual">
      <formula>10000</formula>
    </cfRule>
  </conditionalFormatting>
  <conditionalFormatting sqref="O231:R231">
    <cfRule type="cellIs" dxfId="540" priority="892" operator="lessThan">
      <formula>0.1</formula>
    </cfRule>
    <cfRule type="expression" dxfId="539" priority="887">
      <formula>O231&lt;O$4</formula>
    </cfRule>
    <cfRule type="cellIs" dxfId="538" priority="891" operator="between">
      <formula>0.1</formula>
      <formula>0.999</formula>
    </cfRule>
    <cfRule type="cellIs" dxfId="537" priority="888" operator="greaterThanOrEqual">
      <formula>10000</formula>
    </cfRule>
    <cfRule type="cellIs" dxfId="536" priority="889" operator="greaterThanOrEqual">
      <formula>10</formula>
    </cfRule>
    <cfRule type="cellIs" dxfId="535" priority="890" operator="between">
      <formula>1</formula>
      <formula>10</formula>
    </cfRule>
  </conditionalFormatting>
  <conditionalFormatting sqref="O233:R233">
    <cfRule type="cellIs" dxfId="534" priority="981" operator="between">
      <formula>0.1</formula>
      <formula>0.999</formula>
    </cfRule>
    <cfRule type="cellIs" dxfId="533" priority="982" operator="lessThan">
      <formula>0.1</formula>
    </cfRule>
    <cfRule type="expression" dxfId="532" priority="977">
      <formula>O233&lt;O$4</formula>
    </cfRule>
    <cfRule type="cellIs" dxfId="531" priority="978" operator="greaterThanOrEqual">
      <formula>10000</formula>
    </cfRule>
    <cfRule type="cellIs" dxfId="530" priority="979" operator="greaterThanOrEqual">
      <formula>10</formula>
    </cfRule>
    <cfRule type="cellIs" dxfId="529" priority="980" operator="between">
      <formula>1</formula>
      <formula>10</formula>
    </cfRule>
  </conditionalFormatting>
  <conditionalFormatting sqref="O235:R235">
    <cfRule type="expression" dxfId="528" priority="971">
      <formula>O235&lt;O$4</formula>
    </cfRule>
    <cfRule type="cellIs" dxfId="527" priority="972" operator="greaterThanOrEqual">
      <formula>10000</formula>
    </cfRule>
    <cfRule type="cellIs" dxfId="526" priority="976" operator="lessThan">
      <formula>0.1</formula>
    </cfRule>
    <cfRule type="cellIs" dxfId="525" priority="975" operator="between">
      <formula>0.1</formula>
      <formula>0.999</formula>
    </cfRule>
    <cfRule type="cellIs" dxfId="524" priority="974" operator="between">
      <formula>1</formula>
      <formula>10</formula>
    </cfRule>
    <cfRule type="cellIs" dxfId="523" priority="973" operator="greaterThanOrEqual">
      <formula>10</formula>
    </cfRule>
  </conditionalFormatting>
  <conditionalFormatting sqref="O237:R237">
    <cfRule type="cellIs" dxfId="522" priority="969" operator="between">
      <formula>0.1</formula>
      <formula>0.999</formula>
    </cfRule>
    <cfRule type="cellIs" dxfId="521" priority="970" operator="lessThan">
      <formula>0.1</formula>
    </cfRule>
    <cfRule type="cellIs" dxfId="520" priority="968" operator="between">
      <formula>1</formula>
      <formula>10</formula>
    </cfRule>
    <cfRule type="cellIs" dxfId="519" priority="967" operator="greaterThanOrEqual">
      <formula>10</formula>
    </cfRule>
    <cfRule type="cellIs" dxfId="518" priority="966" operator="greaterThanOrEqual">
      <formula>10000</formula>
    </cfRule>
    <cfRule type="expression" dxfId="517" priority="965">
      <formula>O237&lt;O$4</formula>
    </cfRule>
  </conditionalFormatting>
  <conditionalFormatting sqref="O239:R239">
    <cfRule type="cellIs" dxfId="516" priority="962" operator="between">
      <formula>1</formula>
      <formula>10</formula>
    </cfRule>
    <cfRule type="cellIs" dxfId="515" priority="964" operator="lessThan">
      <formula>0.1</formula>
    </cfRule>
    <cfRule type="cellIs" dxfId="514" priority="963" operator="between">
      <formula>0.1</formula>
      <formula>0.999</formula>
    </cfRule>
    <cfRule type="cellIs" dxfId="513" priority="961" operator="greaterThanOrEqual">
      <formula>10</formula>
    </cfRule>
    <cfRule type="cellIs" dxfId="512" priority="960" operator="greaterThanOrEqual">
      <formula>10000</formula>
    </cfRule>
    <cfRule type="expression" dxfId="511" priority="959">
      <formula>O239&lt;O$4</formula>
    </cfRule>
  </conditionalFormatting>
  <conditionalFormatting sqref="O241:R241">
    <cfRule type="cellIs" dxfId="510" priority="82" operator="between">
      <formula>1</formula>
      <formula>10</formula>
    </cfRule>
    <cfRule type="cellIs" dxfId="509" priority="84" operator="lessThan">
      <formula>0.1</formula>
    </cfRule>
    <cfRule type="expression" dxfId="508" priority="79">
      <formula>O241&lt;O$4</formula>
    </cfRule>
    <cfRule type="cellIs" dxfId="507" priority="83" operator="between">
      <formula>0.1</formula>
      <formula>0.999</formula>
    </cfRule>
    <cfRule type="cellIs" dxfId="506" priority="81" operator="greaterThanOrEqual">
      <formula>10</formula>
    </cfRule>
    <cfRule type="cellIs" dxfId="505" priority="80" operator="greaterThanOrEqual">
      <formula>10000</formula>
    </cfRule>
  </conditionalFormatting>
  <conditionalFormatting sqref="O243:R243">
    <cfRule type="cellIs" dxfId="504" priority="75" operator="greaterThanOrEqual">
      <formula>10</formula>
    </cfRule>
    <cfRule type="cellIs" dxfId="503" priority="74" operator="greaterThanOrEqual">
      <formula>10000</formula>
    </cfRule>
    <cfRule type="expression" dxfId="502" priority="73">
      <formula>O243&lt;O$4</formula>
    </cfRule>
    <cfRule type="cellIs" dxfId="501" priority="78" operator="lessThan">
      <formula>0.1</formula>
    </cfRule>
    <cfRule type="cellIs" dxfId="500" priority="77" operator="between">
      <formula>0.1</formula>
      <formula>0.999</formula>
    </cfRule>
    <cfRule type="cellIs" dxfId="499" priority="76" operator="between">
      <formula>1</formula>
      <formula>10</formula>
    </cfRule>
  </conditionalFormatting>
  <conditionalFormatting sqref="O245:R245">
    <cfRule type="cellIs" dxfId="498" priority="958" operator="lessThan">
      <formula>0.1</formula>
    </cfRule>
    <cfRule type="cellIs" dxfId="497" priority="957" operator="between">
      <formula>0.1</formula>
      <formula>0.999</formula>
    </cfRule>
    <cfRule type="cellIs" dxfId="496" priority="956" operator="between">
      <formula>1</formula>
      <formula>10</formula>
    </cfRule>
    <cfRule type="cellIs" dxfId="495" priority="955" operator="greaterThanOrEqual">
      <formula>10</formula>
    </cfRule>
    <cfRule type="cellIs" dxfId="494" priority="954" operator="greaterThanOrEqual">
      <formula>10000</formula>
    </cfRule>
    <cfRule type="expression" dxfId="493" priority="953">
      <formula>O245&lt;O$4</formula>
    </cfRule>
  </conditionalFormatting>
  <conditionalFormatting sqref="O247:R247">
    <cfRule type="cellIs" dxfId="492" priority="948" operator="greaterThanOrEqual">
      <formula>10000</formula>
    </cfRule>
    <cfRule type="expression" dxfId="491" priority="947">
      <formula>O247&lt;O$4</formula>
    </cfRule>
    <cfRule type="cellIs" dxfId="490" priority="952" operator="lessThan">
      <formula>0.1</formula>
    </cfRule>
    <cfRule type="cellIs" dxfId="489" priority="951" operator="between">
      <formula>0.1</formula>
      <formula>0.999</formula>
    </cfRule>
    <cfRule type="cellIs" dxfId="488" priority="950" operator="between">
      <formula>1</formula>
      <formula>10</formula>
    </cfRule>
    <cfRule type="cellIs" dxfId="487" priority="949" operator="greaterThanOrEqual">
      <formula>10</formula>
    </cfRule>
  </conditionalFormatting>
  <conditionalFormatting sqref="O249:R249">
    <cfRule type="expression" dxfId="486" priority="1037">
      <formula>O249&lt;O$4</formula>
    </cfRule>
    <cfRule type="cellIs" dxfId="485" priority="1038" operator="greaterThanOrEqual">
      <formula>10000</formula>
    </cfRule>
    <cfRule type="cellIs" dxfId="484" priority="1042" operator="lessThan">
      <formula>0.1</formula>
    </cfRule>
    <cfRule type="cellIs" dxfId="483" priority="1040" operator="between">
      <formula>1</formula>
      <formula>10</formula>
    </cfRule>
    <cfRule type="cellIs" dxfId="482" priority="1041" operator="between">
      <formula>0.1</formula>
      <formula>0.999</formula>
    </cfRule>
    <cfRule type="cellIs" dxfId="481" priority="1039" operator="greaterThanOrEqual">
      <formula>10</formula>
    </cfRule>
  </conditionalFormatting>
  <conditionalFormatting sqref="O251:R251">
    <cfRule type="expression" dxfId="480" priority="1031">
      <formula>O251&lt;O$4</formula>
    </cfRule>
    <cfRule type="cellIs" dxfId="479" priority="1035" operator="between">
      <formula>0.1</formula>
      <formula>0.999</formula>
    </cfRule>
    <cfRule type="cellIs" dxfId="478" priority="1034" operator="between">
      <formula>1</formula>
      <formula>10</formula>
    </cfRule>
    <cfRule type="cellIs" dxfId="477" priority="1033" operator="greaterThanOrEqual">
      <formula>10</formula>
    </cfRule>
    <cfRule type="cellIs" dxfId="476" priority="1036" operator="lessThan">
      <formula>0.1</formula>
    </cfRule>
    <cfRule type="cellIs" dxfId="475" priority="1032" operator="greaterThanOrEqual">
      <formula>10000</formula>
    </cfRule>
  </conditionalFormatting>
  <conditionalFormatting sqref="O253:R253">
    <cfRule type="cellIs" dxfId="474" priority="1028" operator="between">
      <formula>1</formula>
      <formula>10</formula>
    </cfRule>
    <cfRule type="cellIs" dxfId="473" priority="1030" operator="lessThan">
      <formula>0.1</formula>
    </cfRule>
    <cfRule type="cellIs" dxfId="472" priority="1029" operator="between">
      <formula>0.1</formula>
      <formula>0.999</formula>
    </cfRule>
    <cfRule type="expression" dxfId="471" priority="1025">
      <formula>O253&lt;O$4</formula>
    </cfRule>
    <cfRule type="cellIs" dxfId="470" priority="1026" operator="greaterThanOrEqual">
      <formula>10000</formula>
    </cfRule>
    <cfRule type="cellIs" dxfId="469" priority="1027" operator="greaterThanOrEqual">
      <formula>10</formula>
    </cfRule>
  </conditionalFormatting>
  <conditionalFormatting sqref="O255:R255">
    <cfRule type="cellIs" dxfId="468" priority="1020" operator="greaterThanOrEqual">
      <formula>10000</formula>
    </cfRule>
    <cfRule type="cellIs" dxfId="467" priority="1023" operator="between">
      <formula>0.1</formula>
      <formula>0.999</formula>
    </cfRule>
    <cfRule type="cellIs" dxfId="466" priority="1024" operator="lessThan">
      <formula>0.1</formula>
    </cfRule>
    <cfRule type="cellIs" dxfId="465" priority="1021" operator="greaterThanOrEqual">
      <formula>10</formula>
    </cfRule>
    <cfRule type="expression" dxfId="464" priority="1019">
      <formula>O255&lt;O$4</formula>
    </cfRule>
    <cfRule type="cellIs" dxfId="463" priority="1022" operator="between">
      <formula>1</formula>
      <formula>10</formula>
    </cfRule>
  </conditionalFormatting>
  <conditionalFormatting sqref="O257:R257">
    <cfRule type="expression" dxfId="462" priority="1013">
      <formula>O257&lt;O$4</formula>
    </cfRule>
    <cfRule type="cellIs" dxfId="461" priority="1014" operator="greaterThanOrEqual">
      <formula>10000</formula>
    </cfRule>
    <cfRule type="cellIs" dxfId="460" priority="1016" operator="between">
      <formula>1</formula>
      <formula>10</formula>
    </cfRule>
    <cfRule type="cellIs" dxfId="459" priority="1018" operator="lessThan">
      <formula>0.1</formula>
    </cfRule>
    <cfRule type="cellIs" dxfId="458" priority="1017" operator="between">
      <formula>0.1</formula>
      <formula>0.999</formula>
    </cfRule>
    <cfRule type="cellIs" dxfId="457" priority="1015" operator="greaterThanOrEqual">
      <formula>10</formula>
    </cfRule>
  </conditionalFormatting>
  <conditionalFormatting sqref="O259:R259">
    <cfRule type="expression" dxfId="456" priority="1007">
      <formula>O259&lt;O$4</formula>
    </cfRule>
    <cfRule type="cellIs" dxfId="455" priority="1008" operator="greaterThanOrEqual">
      <formula>10000</formula>
    </cfRule>
    <cfRule type="cellIs" dxfId="454" priority="1009" operator="greaterThanOrEqual">
      <formula>10</formula>
    </cfRule>
    <cfRule type="cellIs" dxfId="453" priority="1010" operator="between">
      <formula>1</formula>
      <formula>10</formula>
    </cfRule>
    <cfRule type="cellIs" dxfId="452" priority="1012" operator="lessThan">
      <formula>0.1</formula>
    </cfRule>
    <cfRule type="cellIs" dxfId="451" priority="1011" operator="between">
      <formula>0.1</formula>
      <formula>0.999</formula>
    </cfRule>
  </conditionalFormatting>
  <conditionalFormatting sqref="O261:R261">
    <cfRule type="expression" dxfId="450" priority="67">
      <formula>O261&lt;O$4</formula>
    </cfRule>
    <cfRule type="cellIs" dxfId="449" priority="70" operator="between">
      <formula>1</formula>
      <formula>10</formula>
    </cfRule>
    <cfRule type="cellIs" dxfId="448" priority="69" operator="greaterThanOrEqual">
      <formula>10</formula>
    </cfRule>
    <cfRule type="cellIs" dxfId="447" priority="71" operator="between">
      <formula>0.1</formula>
      <formula>0.999</formula>
    </cfRule>
    <cfRule type="cellIs" dxfId="446" priority="68" operator="greaterThanOrEqual">
      <formula>10000</formula>
    </cfRule>
    <cfRule type="cellIs" dxfId="445" priority="72" operator="lessThan">
      <formula>0.1</formula>
    </cfRule>
  </conditionalFormatting>
  <conditionalFormatting sqref="O263:R263">
    <cfRule type="expression" dxfId="444" priority="61">
      <formula>O263&lt;O$4</formula>
    </cfRule>
    <cfRule type="cellIs" dxfId="443" priority="62" operator="greaterThanOrEqual">
      <formula>10000</formula>
    </cfRule>
    <cfRule type="cellIs" dxfId="442" priority="63" operator="greaterThanOrEqual">
      <formula>10</formula>
    </cfRule>
    <cfRule type="cellIs" dxfId="441" priority="64" operator="between">
      <formula>1</formula>
      <formula>10</formula>
    </cfRule>
    <cfRule type="cellIs" dxfId="440" priority="65" operator="between">
      <formula>0.1</formula>
      <formula>0.999</formula>
    </cfRule>
    <cfRule type="cellIs" dxfId="439" priority="66" operator="lessThan">
      <formula>0.1</formula>
    </cfRule>
  </conditionalFormatting>
  <conditionalFormatting sqref="O265:R265">
    <cfRule type="expression" dxfId="438" priority="1001">
      <formula>O265&lt;O$4</formula>
    </cfRule>
    <cfRule type="cellIs" dxfId="437" priority="1003" operator="greaterThanOrEqual">
      <formula>10</formula>
    </cfRule>
    <cfRule type="cellIs" dxfId="436" priority="1002" operator="greaterThanOrEqual">
      <formula>10000</formula>
    </cfRule>
    <cfRule type="cellIs" dxfId="435" priority="1005" operator="between">
      <formula>0.1</formula>
      <formula>0.999</formula>
    </cfRule>
    <cfRule type="cellIs" dxfId="434" priority="1004" operator="between">
      <formula>1</formula>
      <formula>10</formula>
    </cfRule>
    <cfRule type="cellIs" dxfId="433" priority="1006" operator="lessThan">
      <formula>0.1</formula>
    </cfRule>
  </conditionalFormatting>
  <conditionalFormatting sqref="O266:R266">
    <cfRule type="cellIs" dxfId="432" priority="1576" operator="lessThan">
      <formula>30</formula>
    </cfRule>
  </conditionalFormatting>
  <conditionalFormatting sqref="O267:R267">
    <cfRule type="cellIs" dxfId="431" priority="998" operator="between">
      <formula>1</formula>
      <formula>10</formula>
    </cfRule>
    <cfRule type="cellIs" dxfId="430" priority="1000" operator="lessThan">
      <formula>0.1</formula>
    </cfRule>
    <cfRule type="cellIs" dxfId="429" priority="999" operator="between">
      <formula>0.1</formula>
      <formula>0.999</formula>
    </cfRule>
    <cfRule type="cellIs" dxfId="428" priority="997" operator="greaterThanOrEqual">
      <formula>10</formula>
    </cfRule>
    <cfRule type="expression" dxfId="427" priority="995">
      <formula>O267&lt;O$4</formula>
    </cfRule>
    <cfRule type="cellIs" dxfId="426" priority="996" operator="greaterThanOrEqual">
      <formula>10000</formula>
    </cfRule>
  </conditionalFormatting>
  <conditionalFormatting sqref="O268:R268">
    <cfRule type="cellIs" dxfId="425" priority="1575" operator="lessThan">
      <formula>30</formula>
    </cfRule>
  </conditionalFormatting>
  <conditionalFormatting sqref="O269:R269">
    <cfRule type="cellIs" dxfId="424" priority="1074" operator="greaterThanOrEqual">
      <formula>10000</formula>
    </cfRule>
    <cfRule type="cellIs" dxfId="423" priority="1075" operator="greaterThanOrEqual">
      <formula>10</formula>
    </cfRule>
    <cfRule type="cellIs" dxfId="422" priority="1076" operator="between">
      <formula>1</formula>
      <formula>10</formula>
    </cfRule>
    <cfRule type="cellIs" dxfId="421" priority="1077" operator="between">
      <formula>0.1</formula>
      <formula>0.999</formula>
    </cfRule>
    <cfRule type="cellIs" dxfId="420" priority="1078" operator="lessThan">
      <formula>0.1</formula>
    </cfRule>
    <cfRule type="expression" dxfId="419" priority="1073">
      <formula>O269&lt;O$4</formula>
    </cfRule>
  </conditionalFormatting>
  <conditionalFormatting sqref="O271:R271">
    <cfRule type="cellIs" dxfId="418" priority="1069" operator="greaterThanOrEqual">
      <formula>10</formula>
    </cfRule>
    <cfRule type="expression" dxfId="417" priority="1067">
      <formula>O271&lt;O$4</formula>
    </cfRule>
    <cfRule type="cellIs" dxfId="416" priority="1068" operator="greaterThanOrEqual">
      <formula>10000</formula>
    </cfRule>
    <cfRule type="cellIs" dxfId="415" priority="1070" operator="between">
      <formula>1</formula>
      <formula>10</formula>
    </cfRule>
    <cfRule type="cellIs" dxfId="414" priority="1071" operator="between">
      <formula>0.1</formula>
      <formula>0.999</formula>
    </cfRule>
    <cfRule type="cellIs" dxfId="413" priority="1072" operator="lessThan">
      <formula>0.1</formula>
    </cfRule>
  </conditionalFormatting>
  <conditionalFormatting sqref="O273:R273">
    <cfRule type="cellIs" dxfId="412" priority="56" operator="greaterThanOrEqual">
      <formula>10000</formula>
    </cfRule>
    <cfRule type="cellIs" dxfId="411" priority="60" operator="lessThan">
      <formula>0.1</formula>
    </cfRule>
    <cfRule type="cellIs" dxfId="410" priority="59" operator="between">
      <formula>0.1</formula>
      <formula>0.999</formula>
    </cfRule>
    <cfRule type="cellIs" dxfId="409" priority="58" operator="between">
      <formula>1</formula>
      <formula>10</formula>
    </cfRule>
    <cfRule type="cellIs" dxfId="408" priority="57" operator="greaterThanOrEqual">
      <formula>10</formula>
    </cfRule>
    <cfRule type="expression" dxfId="407" priority="55">
      <formula>O273&lt;O$4</formula>
    </cfRule>
  </conditionalFormatting>
  <conditionalFormatting sqref="O275:R275">
    <cfRule type="cellIs" dxfId="406" priority="54" operator="lessThan">
      <formula>0.1</formula>
    </cfRule>
    <cfRule type="cellIs" dxfId="405" priority="52" operator="between">
      <formula>1</formula>
      <formula>10</formula>
    </cfRule>
    <cfRule type="cellIs" dxfId="404" priority="51" operator="greaterThanOrEqual">
      <formula>10</formula>
    </cfRule>
    <cfRule type="cellIs" dxfId="403" priority="50" operator="greaterThanOrEqual">
      <formula>10000</formula>
    </cfRule>
    <cfRule type="cellIs" dxfId="402" priority="53" operator="between">
      <formula>0.1</formula>
      <formula>0.999</formula>
    </cfRule>
    <cfRule type="expression" dxfId="401" priority="49">
      <formula>O275&lt;O$4</formula>
    </cfRule>
  </conditionalFormatting>
  <conditionalFormatting sqref="O277:R277">
    <cfRule type="cellIs" dxfId="400" priority="1065" operator="between">
      <formula>0.1</formula>
      <formula>0.999</formula>
    </cfRule>
    <cfRule type="cellIs" dxfId="399" priority="1064" operator="between">
      <formula>1</formula>
      <formula>10</formula>
    </cfRule>
    <cfRule type="cellIs" dxfId="398" priority="1063" operator="greaterThanOrEqual">
      <formula>10</formula>
    </cfRule>
    <cfRule type="cellIs" dxfId="397" priority="1062" operator="greaterThanOrEqual">
      <formula>10000</formula>
    </cfRule>
    <cfRule type="expression" dxfId="396" priority="1061">
      <formula>O277&lt;O$4</formula>
    </cfRule>
    <cfRule type="cellIs" dxfId="395" priority="1066" operator="lessThan">
      <formula>0.1</formula>
    </cfRule>
  </conditionalFormatting>
  <conditionalFormatting sqref="O279:R279">
    <cfRule type="expression" dxfId="394" priority="1055">
      <formula>O279&lt;O$4</formula>
    </cfRule>
    <cfRule type="cellIs" dxfId="393" priority="1060" operator="lessThan">
      <formula>0.1</formula>
    </cfRule>
    <cfRule type="cellIs" dxfId="392" priority="1059" operator="between">
      <formula>0.1</formula>
      <formula>0.999</formula>
    </cfRule>
    <cfRule type="cellIs" dxfId="391" priority="1058" operator="between">
      <formula>1</formula>
      <formula>10</formula>
    </cfRule>
    <cfRule type="cellIs" dxfId="390" priority="1057" operator="greaterThanOrEqual">
      <formula>10</formula>
    </cfRule>
    <cfRule type="cellIs" dxfId="389" priority="1056" operator="greaterThanOrEqual">
      <formula>10000</formula>
    </cfRule>
  </conditionalFormatting>
  <conditionalFormatting sqref="O281:R281">
    <cfRule type="expression" dxfId="388" priority="665">
      <formula>O281&lt;O$4</formula>
    </cfRule>
    <cfRule type="cellIs" dxfId="387" priority="666" operator="greaterThanOrEqual">
      <formula>10000</formula>
    </cfRule>
    <cfRule type="cellIs" dxfId="386" priority="667" operator="greaterThanOrEqual">
      <formula>10</formula>
    </cfRule>
    <cfRule type="cellIs" dxfId="385" priority="668" operator="between">
      <formula>1</formula>
      <formula>10</formula>
    </cfRule>
    <cfRule type="cellIs" dxfId="384" priority="669" operator="between">
      <formula>0.1</formula>
      <formula>0.999</formula>
    </cfRule>
    <cfRule type="cellIs" dxfId="383" priority="670" operator="lessThan">
      <formula>0.1</formula>
    </cfRule>
  </conditionalFormatting>
  <conditionalFormatting sqref="O283:R283">
    <cfRule type="cellIs" dxfId="382" priority="661" operator="greaterThanOrEqual">
      <formula>10</formula>
    </cfRule>
    <cfRule type="expression" dxfId="381" priority="659">
      <formula>O283&lt;O$4</formula>
    </cfRule>
    <cfRule type="cellIs" dxfId="380" priority="662" operator="between">
      <formula>1</formula>
      <formula>10</formula>
    </cfRule>
    <cfRule type="cellIs" dxfId="379" priority="660" operator="greaterThanOrEqual">
      <formula>10000</formula>
    </cfRule>
    <cfRule type="cellIs" dxfId="378" priority="664" operator="lessThan">
      <formula>0.1</formula>
    </cfRule>
    <cfRule type="cellIs" dxfId="377" priority="663" operator="between">
      <formula>0.1</formula>
      <formula>0.999</formula>
    </cfRule>
  </conditionalFormatting>
  <conditionalFormatting sqref="O285:R285">
    <cfRule type="cellIs" dxfId="376" priority="48" operator="lessThan">
      <formula>0.1</formula>
    </cfRule>
    <cfRule type="cellIs" dxfId="375" priority="47" operator="between">
      <formula>0.1</formula>
      <formula>0.999</formula>
    </cfRule>
    <cfRule type="cellIs" dxfId="374" priority="46" operator="between">
      <formula>1</formula>
      <formula>10</formula>
    </cfRule>
    <cfRule type="expression" dxfId="373" priority="43">
      <formula>O285&lt;O$4</formula>
    </cfRule>
    <cfRule type="cellIs" dxfId="372" priority="45" operator="greaterThanOrEqual">
      <formula>10</formula>
    </cfRule>
    <cfRule type="cellIs" dxfId="371" priority="44" operator="greaterThanOrEqual">
      <formula>10000</formula>
    </cfRule>
  </conditionalFormatting>
  <conditionalFormatting sqref="O287:R287">
    <cfRule type="cellIs" dxfId="370" priority="42" operator="lessThan">
      <formula>0.1</formula>
    </cfRule>
    <cfRule type="cellIs" dxfId="369" priority="41" operator="between">
      <formula>0.1</formula>
      <formula>0.999</formula>
    </cfRule>
    <cfRule type="cellIs" dxfId="368" priority="39" operator="greaterThanOrEqual">
      <formula>10</formula>
    </cfRule>
    <cfRule type="cellIs" dxfId="367" priority="38" operator="greaterThanOrEqual">
      <formula>10000</formula>
    </cfRule>
    <cfRule type="cellIs" dxfId="366" priority="40" operator="between">
      <formula>1</formula>
      <formula>10</formula>
    </cfRule>
    <cfRule type="expression" dxfId="365" priority="37">
      <formula>O287&lt;O$4</formula>
    </cfRule>
  </conditionalFormatting>
  <conditionalFormatting sqref="O289:R289">
    <cfRule type="cellIs" dxfId="364" priority="657" operator="between">
      <formula>0.1</formula>
      <formula>0.999</formula>
    </cfRule>
    <cfRule type="cellIs" dxfId="363" priority="656" operator="between">
      <formula>1</formula>
      <formula>10</formula>
    </cfRule>
    <cfRule type="cellIs" dxfId="362" priority="654" operator="greaterThanOrEqual">
      <formula>10000</formula>
    </cfRule>
    <cfRule type="expression" dxfId="361" priority="653">
      <formula>O289&lt;O$4</formula>
    </cfRule>
    <cfRule type="cellIs" dxfId="360" priority="655" operator="greaterThanOrEqual">
      <formula>10</formula>
    </cfRule>
    <cfRule type="cellIs" dxfId="359" priority="658" operator="lessThan">
      <formula>0.1</formula>
    </cfRule>
  </conditionalFormatting>
  <conditionalFormatting sqref="O290:R290">
    <cfRule type="cellIs" dxfId="358" priority="1562" operator="lessThan">
      <formula>30</formula>
    </cfRule>
  </conditionalFormatting>
  <conditionalFormatting sqref="O291:R291">
    <cfRule type="cellIs" dxfId="357" priority="652" operator="lessThan">
      <formula>0.1</formula>
    </cfRule>
    <cfRule type="cellIs" dxfId="356" priority="651" operator="between">
      <formula>0.1</formula>
      <formula>0.999</formula>
    </cfRule>
    <cfRule type="cellIs" dxfId="355" priority="650" operator="between">
      <formula>1</formula>
      <formula>10</formula>
    </cfRule>
    <cfRule type="cellIs" dxfId="354" priority="649" operator="greaterThanOrEqual">
      <formula>10</formula>
    </cfRule>
    <cfRule type="cellIs" dxfId="353" priority="648" operator="greaterThanOrEqual">
      <formula>10000</formula>
    </cfRule>
    <cfRule type="expression" dxfId="352" priority="647">
      <formula>O291&lt;O$4</formula>
    </cfRule>
  </conditionalFormatting>
  <conditionalFormatting sqref="O292:R292">
    <cfRule type="cellIs" dxfId="351" priority="1561" operator="lessThan">
      <formula>30</formula>
    </cfRule>
  </conditionalFormatting>
  <conditionalFormatting sqref="O293:R293">
    <cfRule type="expression" dxfId="350" priority="701">
      <formula>O293&lt;O$4</formula>
    </cfRule>
    <cfRule type="cellIs" dxfId="349" priority="702" operator="greaterThanOrEqual">
      <formula>10000</formula>
    </cfRule>
    <cfRule type="cellIs" dxfId="348" priority="703" operator="greaterThanOrEqual">
      <formula>10</formula>
    </cfRule>
    <cfRule type="cellIs" dxfId="347" priority="704" operator="between">
      <formula>1</formula>
      <formula>10</formula>
    </cfRule>
    <cfRule type="cellIs" dxfId="346" priority="705" operator="between">
      <formula>0.1</formula>
      <formula>0.999</formula>
    </cfRule>
    <cfRule type="cellIs" dxfId="345" priority="706" operator="lessThan">
      <formula>0.1</formula>
    </cfRule>
  </conditionalFormatting>
  <conditionalFormatting sqref="O295:R295">
    <cfRule type="cellIs" dxfId="344" priority="697" operator="greaterThanOrEqual">
      <formula>10</formula>
    </cfRule>
    <cfRule type="cellIs" dxfId="343" priority="698" operator="between">
      <formula>1</formula>
      <formula>10</formula>
    </cfRule>
    <cfRule type="cellIs" dxfId="342" priority="699" operator="between">
      <formula>0.1</formula>
      <formula>0.999</formula>
    </cfRule>
    <cfRule type="cellIs" dxfId="341" priority="700" operator="lessThan">
      <formula>0.1</formula>
    </cfRule>
    <cfRule type="expression" dxfId="340" priority="695">
      <formula>O295&lt;O$4</formula>
    </cfRule>
    <cfRule type="cellIs" dxfId="339" priority="696" operator="greaterThanOrEqual">
      <formula>10000</formula>
    </cfRule>
  </conditionalFormatting>
  <conditionalFormatting sqref="O297:R297">
    <cfRule type="cellIs" dxfId="338" priority="34" operator="between">
      <formula>1</formula>
      <formula>10</formula>
    </cfRule>
    <cfRule type="cellIs" dxfId="337" priority="35" operator="between">
      <formula>0.1</formula>
      <formula>0.999</formula>
    </cfRule>
    <cfRule type="cellIs" dxfId="336" priority="36" operator="lessThan">
      <formula>0.1</formula>
    </cfRule>
    <cfRule type="expression" dxfId="335" priority="31">
      <formula>O297&lt;O$4</formula>
    </cfRule>
    <cfRule type="cellIs" dxfId="334" priority="32" operator="greaterThanOrEqual">
      <formula>10000</formula>
    </cfRule>
    <cfRule type="cellIs" dxfId="333" priority="33" operator="greaterThanOrEqual">
      <formula>10</formula>
    </cfRule>
  </conditionalFormatting>
  <conditionalFormatting sqref="O299:R299">
    <cfRule type="expression" dxfId="332" priority="25">
      <formula>O299&lt;O$4</formula>
    </cfRule>
    <cfRule type="cellIs" dxfId="331" priority="29" operator="between">
      <formula>0.1</formula>
      <formula>0.999</formula>
    </cfRule>
    <cfRule type="cellIs" dxfId="330" priority="26" operator="greaterThanOrEqual">
      <formula>10000</formula>
    </cfRule>
    <cfRule type="cellIs" dxfId="329" priority="27" operator="greaterThanOrEqual">
      <formula>10</formula>
    </cfRule>
    <cfRule type="cellIs" dxfId="328" priority="28" operator="between">
      <formula>1</formula>
      <formula>10</formula>
    </cfRule>
    <cfRule type="cellIs" dxfId="327" priority="30" operator="lessThan">
      <formula>0.1</formula>
    </cfRule>
  </conditionalFormatting>
  <conditionalFormatting sqref="O301:R301">
    <cfRule type="cellIs" dxfId="326" priority="694" operator="lessThan">
      <formula>0.1</formula>
    </cfRule>
    <cfRule type="cellIs" dxfId="325" priority="692" operator="between">
      <formula>1</formula>
      <formula>10</formula>
    </cfRule>
    <cfRule type="cellIs" dxfId="324" priority="691" operator="greaterThanOrEqual">
      <formula>10</formula>
    </cfRule>
    <cfRule type="cellIs" dxfId="323" priority="690" operator="greaterThanOrEqual">
      <formula>10000</formula>
    </cfRule>
    <cfRule type="cellIs" dxfId="322" priority="693" operator="between">
      <formula>0.1</formula>
      <formula>0.999</formula>
    </cfRule>
    <cfRule type="expression" dxfId="321" priority="689">
      <formula>O301&lt;O$4</formula>
    </cfRule>
  </conditionalFormatting>
  <conditionalFormatting sqref="O302:R302">
    <cfRule type="cellIs" dxfId="320" priority="1564" operator="lessThan">
      <formula>30</formula>
    </cfRule>
  </conditionalFormatting>
  <conditionalFormatting sqref="O303:R303">
    <cfRule type="cellIs" dxfId="319" priority="688" operator="lessThan">
      <formula>0.1</formula>
    </cfRule>
    <cfRule type="cellIs" dxfId="318" priority="687" operator="between">
      <formula>0.1</formula>
      <formula>0.999</formula>
    </cfRule>
    <cfRule type="cellIs" dxfId="317" priority="686" operator="between">
      <formula>1</formula>
      <formula>10</formula>
    </cfRule>
    <cfRule type="cellIs" dxfId="316" priority="685" operator="greaterThanOrEqual">
      <formula>10</formula>
    </cfRule>
    <cfRule type="cellIs" dxfId="315" priority="684" operator="greaterThanOrEqual">
      <formula>10000</formula>
    </cfRule>
    <cfRule type="expression" dxfId="314" priority="683">
      <formula>O303&lt;O$4</formula>
    </cfRule>
  </conditionalFormatting>
  <conditionalFormatting sqref="O304:R304">
    <cfRule type="cellIs" dxfId="313" priority="1563" operator="lessThan">
      <formula>30</formula>
    </cfRule>
  </conditionalFormatting>
  <conditionalFormatting sqref="O305:R305">
    <cfRule type="cellIs" dxfId="312" priority="634" operator="lessThan">
      <formula>0.1</formula>
    </cfRule>
    <cfRule type="cellIs" dxfId="311" priority="633" operator="between">
      <formula>0.1</formula>
      <formula>0.999</formula>
    </cfRule>
    <cfRule type="cellIs" dxfId="310" priority="632" operator="between">
      <formula>1</formula>
      <formula>10</formula>
    </cfRule>
    <cfRule type="cellIs" dxfId="309" priority="631" operator="greaterThanOrEqual">
      <formula>10</formula>
    </cfRule>
    <cfRule type="cellIs" dxfId="308" priority="630" operator="greaterThanOrEqual">
      <formula>10000</formula>
    </cfRule>
    <cfRule type="expression" dxfId="307" priority="629">
      <formula>O305&lt;O$4</formula>
    </cfRule>
  </conditionalFormatting>
  <conditionalFormatting sqref="O307:R307">
    <cfRule type="cellIs" dxfId="306" priority="628" operator="lessThan">
      <formula>0.1</formula>
    </cfRule>
    <cfRule type="cellIs" dxfId="305" priority="627" operator="between">
      <formula>0.1</formula>
      <formula>0.999</formula>
    </cfRule>
    <cfRule type="cellIs" dxfId="304" priority="626" operator="between">
      <formula>1</formula>
      <formula>10</formula>
    </cfRule>
    <cfRule type="cellIs" dxfId="303" priority="625" operator="greaterThanOrEqual">
      <formula>10</formula>
    </cfRule>
    <cfRule type="cellIs" dxfId="302" priority="624" operator="greaterThanOrEqual">
      <formula>10000</formula>
    </cfRule>
    <cfRule type="expression" dxfId="301" priority="623">
      <formula>O307&lt;O$4</formula>
    </cfRule>
  </conditionalFormatting>
  <conditionalFormatting sqref="O309:R309">
    <cfRule type="cellIs" dxfId="300" priority="473" operator="lessThan">
      <formula>0.1</formula>
    </cfRule>
    <cfRule type="cellIs" dxfId="299" priority="472" operator="between">
      <formula>0.1</formula>
      <formula>0.999</formula>
    </cfRule>
    <cfRule type="cellIs" dxfId="298" priority="471" operator="between">
      <formula>1</formula>
      <formula>10</formula>
    </cfRule>
    <cfRule type="cellIs" dxfId="297" priority="470" operator="greaterThanOrEqual">
      <formula>10</formula>
    </cfRule>
    <cfRule type="cellIs" dxfId="296" priority="469" operator="greaterThanOrEqual">
      <formula>10000</formula>
    </cfRule>
    <cfRule type="expression" dxfId="295" priority="468">
      <formula>O309&lt;O$4</formula>
    </cfRule>
  </conditionalFormatting>
  <conditionalFormatting sqref="O311:R311">
    <cfRule type="cellIs" dxfId="294" priority="467" operator="lessThan">
      <formula>0.1</formula>
    </cfRule>
    <cfRule type="cellIs" dxfId="293" priority="463" operator="greaterThanOrEqual">
      <formula>10000</formula>
    </cfRule>
    <cfRule type="cellIs" dxfId="292" priority="466" operator="between">
      <formula>0.1</formula>
      <formula>0.999</formula>
    </cfRule>
    <cfRule type="cellIs" dxfId="291" priority="465" operator="between">
      <formula>1</formula>
      <formula>10</formula>
    </cfRule>
    <cfRule type="cellIs" dxfId="290" priority="464" operator="greaterThanOrEqual">
      <formula>10</formula>
    </cfRule>
    <cfRule type="expression" dxfId="289" priority="462">
      <formula>O311&lt;O$4</formula>
    </cfRule>
  </conditionalFormatting>
  <conditionalFormatting sqref="O313:R313">
    <cfRule type="cellIs" dxfId="288" priority="619" operator="greaterThanOrEqual">
      <formula>10</formula>
    </cfRule>
    <cfRule type="cellIs" dxfId="287" priority="621" operator="between">
      <formula>0.1</formula>
      <formula>0.999</formula>
    </cfRule>
    <cfRule type="cellIs" dxfId="286" priority="622" operator="lessThan">
      <formula>0.1</formula>
    </cfRule>
    <cfRule type="cellIs" dxfId="285" priority="618" operator="greaterThanOrEqual">
      <formula>10000</formula>
    </cfRule>
    <cfRule type="expression" dxfId="284" priority="617">
      <formula>O313&lt;O$4</formula>
    </cfRule>
    <cfRule type="cellIs" dxfId="283" priority="620" operator="between">
      <formula>1</formula>
      <formula>10</formula>
    </cfRule>
  </conditionalFormatting>
  <conditionalFormatting sqref="O315:R315">
    <cfRule type="cellIs" dxfId="282" priority="614" operator="between">
      <formula>1</formula>
      <formula>10</formula>
    </cfRule>
    <cfRule type="cellIs" dxfId="281" priority="616" operator="lessThan">
      <formula>0.1</formula>
    </cfRule>
    <cfRule type="cellIs" dxfId="280" priority="612" operator="greaterThanOrEqual">
      <formula>10000</formula>
    </cfRule>
    <cfRule type="cellIs" dxfId="279" priority="615" operator="between">
      <formula>0.1</formula>
      <formula>0.999</formula>
    </cfRule>
    <cfRule type="expression" dxfId="278" priority="611">
      <formula>O315&lt;O$4</formula>
    </cfRule>
    <cfRule type="cellIs" dxfId="277" priority="613" operator="greaterThanOrEqual">
      <formula>10</formula>
    </cfRule>
  </conditionalFormatting>
  <conditionalFormatting sqref="O317:R317">
    <cfRule type="cellIs" dxfId="276" priority="457" operator="between">
      <formula>1</formula>
      <formula>10</formula>
    </cfRule>
    <cfRule type="cellIs" dxfId="275" priority="458" operator="between">
      <formula>0.1</formula>
      <formula>0.999</formula>
    </cfRule>
    <cfRule type="cellIs" dxfId="274" priority="459" operator="lessThan">
      <formula>0.1</formula>
    </cfRule>
    <cfRule type="cellIs" dxfId="273" priority="455" operator="greaterThanOrEqual">
      <formula>10000</formula>
    </cfRule>
    <cfRule type="cellIs" dxfId="272" priority="456" operator="greaterThanOrEqual">
      <formula>10</formula>
    </cfRule>
    <cfRule type="expression" dxfId="271" priority="454">
      <formula>O317&lt;O$4</formula>
    </cfRule>
  </conditionalFormatting>
  <conditionalFormatting sqref="O319:R319">
    <cfRule type="cellIs" dxfId="270" priority="449" operator="greaterThanOrEqual">
      <formula>10000</formula>
    </cfRule>
    <cfRule type="expression" dxfId="269" priority="448">
      <formula>O319&lt;O$4</formula>
    </cfRule>
    <cfRule type="cellIs" dxfId="268" priority="453" operator="lessThan">
      <formula>0.1</formula>
    </cfRule>
    <cfRule type="cellIs" dxfId="267" priority="452" operator="between">
      <formula>0.1</formula>
      <formula>0.999</formula>
    </cfRule>
    <cfRule type="cellIs" dxfId="266" priority="451" operator="between">
      <formula>1</formula>
      <formula>10</formula>
    </cfRule>
    <cfRule type="cellIs" dxfId="265" priority="450" operator="greaterThanOrEqual">
      <formula>10</formula>
    </cfRule>
  </conditionalFormatting>
  <conditionalFormatting sqref="O321:R321">
    <cfRule type="cellIs" dxfId="264" priority="585" operator="between">
      <formula>0.1</formula>
      <formula>0.999</formula>
    </cfRule>
    <cfRule type="cellIs" dxfId="263" priority="586" operator="lessThan">
      <formula>0.1</formula>
    </cfRule>
    <cfRule type="expression" dxfId="262" priority="581">
      <formula>O321&lt;O$4</formula>
    </cfRule>
    <cfRule type="cellIs" dxfId="261" priority="582" operator="greaterThanOrEqual">
      <formula>10000</formula>
    </cfRule>
    <cfRule type="cellIs" dxfId="260" priority="583" operator="greaterThanOrEqual">
      <formula>10</formula>
    </cfRule>
    <cfRule type="cellIs" dxfId="259" priority="584" operator="between">
      <formula>1</formula>
      <formula>10</formula>
    </cfRule>
  </conditionalFormatting>
  <conditionalFormatting sqref="O322:R322">
    <cfRule type="cellIs" dxfId="258" priority="1560" operator="lessThan">
      <formula>30</formula>
    </cfRule>
  </conditionalFormatting>
  <conditionalFormatting sqref="O323:R323">
    <cfRule type="cellIs" dxfId="257" priority="580" operator="lessThan">
      <formula>0.1</formula>
    </cfRule>
    <cfRule type="cellIs" dxfId="256" priority="579" operator="between">
      <formula>0.1</formula>
      <formula>0.999</formula>
    </cfRule>
    <cfRule type="cellIs" dxfId="255" priority="578" operator="between">
      <formula>1</formula>
      <formula>10</formula>
    </cfRule>
    <cfRule type="cellIs" dxfId="254" priority="577" operator="greaterThanOrEqual">
      <formula>10</formula>
    </cfRule>
    <cfRule type="cellIs" dxfId="253" priority="576" operator="greaterThanOrEqual">
      <formula>10000</formula>
    </cfRule>
    <cfRule type="expression" dxfId="252" priority="575">
      <formula>O323&lt;O$4</formula>
    </cfRule>
  </conditionalFormatting>
  <conditionalFormatting sqref="O324:R324">
    <cfRule type="cellIs" dxfId="251" priority="1559" operator="lessThan">
      <formula>30</formula>
    </cfRule>
  </conditionalFormatting>
  <conditionalFormatting sqref="P9:R9">
    <cfRule type="cellIs" dxfId="250" priority="1558" operator="lessThan">
      <formula>0.1</formula>
    </cfRule>
    <cfRule type="cellIs" dxfId="249" priority="1554" operator="greaterThanOrEqual">
      <formula>10000</formula>
    </cfRule>
    <cfRule type="cellIs" dxfId="248" priority="1555" operator="greaterThanOrEqual">
      <formula>10</formula>
    </cfRule>
    <cfRule type="cellIs" dxfId="247" priority="1556" operator="between">
      <formula>1</formula>
      <formula>10</formula>
    </cfRule>
    <cfRule type="cellIs" dxfId="246" priority="1557" operator="between">
      <formula>0.1</formula>
      <formula>0.999</formula>
    </cfRule>
    <cfRule type="expression" dxfId="245" priority="1553">
      <formula>P9&lt;P$4</formula>
    </cfRule>
  </conditionalFormatting>
  <conditionalFormatting sqref="P11:R11">
    <cfRule type="expression" dxfId="244" priority="1547">
      <formula>P11&lt;P$4</formula>
    </cfRule>
    <cfRule type="cellIs" dxfId="243" priority="1552" operator="lessThan">
      <formula>0.1</formula>
    </cfRule>
    <cfRule type="cellIs" dxfId="242" priority="1550" operator="between">
      <formula>1</formula>
      <formula>10</formula>
    </cfRule>
    <cfRule type="cellIs" dxfId="241" priority="1549" operator="greaterThanOrEqual">
      <formula>10</formula>
    </cfRule>
    <cfRule type="cellIs" dxfId="240" priority="1548" operator="greaterThanOrEqual">
      <formula>10000</formula>
    </cfRule>
    <cfRule type="cellIs" dxfId="239" priority="1551" operator="between">
      <formula>0.1</formula>
      <formula>0.999</formula>
    </cfRule>
  </conditionalFormatting>
  <conditionalFormatting sqref="P13:R13">
    <cfRule type="cellIs" dxfId="238" priority="1544" operator="between">
      <formula>1</formula>
      <formula>10</formula>
    </cfRule>
    <cfRule type="cellIs" dxfId="237" priority="1542" operator="greaterThanOrEqual">
      <formula>10000</formula>
    </cfRule>
    <cfRule type="expression" dxfId="236" priority="1541">
      <formula>P13&lt;P$4</formula>
    </cfRule>
    <cfRule type="cellIs" dxfId="235" priority="1543" operator="greaterThanOrEqual">
      <formula>10</formula>
    </cfRule>
    <cfRule type="cellIs" dxfId="234" priority="1546" operator="lessThan">
      <formula>0.1</formula>
    </cfRule>
    <cfRule type="cellIs" dxfId="233" priority="1545" operator="between">
      <formula>0.1</formula>
      <formula>0.999</formula>
    </cfRule>
  </conditionalFormatting>
  <conditionalFormatting sqref="P15:R15">
    <cfRule type="cellIs" dxfId="232" priority="1540" operator="lessThan">
      <formula>0.1</formula>
    </cfRule>
    <cfRule type="cellIs" dxfId="231" priority="1539" operator="between">
      <formula>0.1</formula>
      <formula>0.999</formula>
    </cfRule>
    <cfRule type="cellIs" dxfId="230" priority="1538" operator="between">
      <formula>1</formula>
      <formula>10</formula>
    </cfRule>
    <cfRule type="cellIs" dxfId="229" priority="1537" operator="greaterThanOrEqual">
      <formula>10</formula>
    </cfRule>
    <cfRule type="expression" dxfId="228" priority="1535">
      <formula>P15&lt;P$4</formula>
    </cfRule>
    <cfRule type="cellIs" dxfId="227" priority="1536" operator="greaterThanOrEqual">
      <formula>10000</formula>
    </cfRule>
  </conditionalFormatting>
  <conditionalFormatting sqref="P17:R17">
    <cfRule type="cellIs" dxfId="226" priority="1531" operator="greaterThanOrEqual">
      <formula>10</formula>
    </cfRule>
    <cfRule type="cellIs" dxfId="225" priority="1532" operator="between">
      <formula>1</formula>
      <formula>10</formula>
    </cfRule>
    <cfRule type="cellIs" dxfId="224" priority="1533" operator="between">
      <formula>0.1</formula>
      <formula>0.999</formula>
    </cfRule>
    <cfRule type="cellIs" dxfId="223" priority="1534" operator="lessThan">
      <formula>0.1</formula>
    </cfRule>
    <cfRule type="expression" dxfId="222" priority="1529">
      <formula>P17&lt;P$4</formula>
    </cfRule>
    <cfRule type="cellIs" dxfId="221" priority="1530" operator="greaterThanOrEqual">
      <formula>10000</formula>
    </cfRule>
  </conditionalFormatting>
  <conditionalFormatting sqref="P19:R19">
    <cfRule type="cellIs" dxfId="220" priority="1526" operator="between">
      <formula>1</formula>
      <formula>10</formula>
    </cfRule>
    <cfRule type="expression" dxfId="219" priority="1523">
      <formula>P19&lt;P$4</formula>
    </cfRule>
    <cfRule type="cellIs" dxfId="218" priority="1524" operator="greaterThanOrEqual">
      <formula>10000</formula>
    </cfRule>
    <cfRule type="cellIs" dxfId="217" priority="1525" operator="greaterThanOrEqual">
      <formula>10</formula>
    </cfRule>
    <cfRule type="cellIs" dxfId="216" priority="1528" operator="lessThan">
      <formula>0.1</formula>
    </cfRule>
    <cfRule type="cellIs" dxfId="215" priority="1527" operator="between">
      <formula>0.1</formula>
      <formula>0.999</formula>
    </cfRule>
  </conditionalFormatting>
  <conditionalFormatting sqref="P21:R21">
    <cfRule type="cellIs" dxfId="214" priority="1521" operator="between">
      <formula>0.1</formula>
      <formula>0.999</formula>
    </cfRule>
    <cfRule type="cellIs" dxfId="213" priority="1522" operator="lessThan">
      <formula>0.1</formula>
    </cfRule>
    <cfRule type="cellIs" dxfId="212" priority="1518" operator="greaterThanOrEqual">
      <formula>10000</formula>
    </cfRule>
    <cfRule type="expression" dxfId="211" priority="1517">
      <formula>P21&lt;P$4</formula>
    </cfRule>
    <cfRule type="cellIs" dxfId="210" priority="1519" operator="greaterThanOrEqual">
      <formula>10</formula>
    </cfRule>
    <cfRule type="cellIs" dxfId="209" priority="1520" operator="between">
      <formula>1</formula>
      <formula>10</formula>
    </cfRule>
  </conditionalFormatting>
  <conditionalFormatting sqref="P23:R23">
    <cfRule type="cellIs" dxfId="208" priority="1513" operator="greaterThanOrEqual">
      <formula>10</formula>
    </cfRule>
    <cfRule type="cellIs" dxfId="207" priority="1514" operator="between">
      <formula>1</formula>
      <formula>10</formula>
    </cfRule>
    <cfRule type="cellIs" dxfId="206" priority="1515" operator="between">
      <formula>0.1</formula>
      <formula>0.999</formula>
    </cfRule>
    <cfRule type="cellIs" dxfId="205" priority="1516" operator="lessThan">
      <formula>0.1</formula>
    </cfRule>
    <cfRule type="expression" dxfId="204" priority="1511">
      <formula>P23&lt;P$4</formula>
    </cfRule>
    <cfRule type="cellIs" dxfId="203" priority="1512" operator="greaterThanOrEqual">
      <formula>10000</formula>
    </cfRule>
  </conditionalFormatting>
  <conditionalFormatting sqref="P25:R25">
    <cfRule type="cellIs" dxfId="202" priority="1506" operator="greaterThanOrEqual">
      <formula>10000</formula>
    </cfRule>
    <cfRule type="expression" dxfId="201" priority="1505">
      <formula>P25&lt;P$4</formula>
    </cfRule>
    <cfRule type="cellIs" dxfId="200" priority="1507" operator="greaterThanOrEqual">
      <formula>10</formula>
    </cfRule>
    <cfRule type="cellIs" dxfId="199" priority="1508" operator="between">
      <formula>1</formula>
      <formula>10</formula>
    </cfRule>
    <cfRule type="cellIs" dxfId="198" priority="1509" operator="between">
      <formula>0.1</formula>
      <formula>0.999</formula>
    </cfRule>
    <cfRule type="cellIs" dxfId="197" priority="1510" operator="lessThan">
      <formula>0.1</formula>
    </cfRule>
  </conditionalFormatting>
  <conditionalFormatting sqref="P27:R27">
    <cfRule type="cellIs" dxfId="196" priority="1502" operator="between">
      <formula>1</formula>
      <formula>10</formula>
    </cfRule>
    <cfRule type="cellIs" dxfId="195" priority="1503" operator="between">
      <formula>0.1</formula>
      <formula>0.999</formula>
    </cfRule>
    <cfRule type="cellIs" dxfId="194" priority="1504" operator="lessThan">
      <formula>0.1</formula>
    </cfRule>
    <cfRule type="expression" dxfId="193" priority="1499">
      <formula>P27&lt;P$4</formula>
    </cfRule>
    <cfRule type="cellIs" dxfId="192" priority="1500" operator="greaterThanOrEqual">
      <formula>10000</formula>
    </cfRule>
    <cfRule type="cellIs" dxfId="191" priority="1501" operator="greaterThanOrEqual">
      <formula>10</formula>
    </cfRule>
  </conditionalFormatting>
  <conditionalFormatting sqref="P29:R29">
    <cfRule type="cellIs" dxfId="190" priority="1495" operator="greaterThanOrEqual">
      <formula>10</formula>
    </cfRule>
    <cfRule type="cellIs" dxfId="189" priority="1494" operator="greaterThanOrEqual">
      <formula>10000</formula>
    </cfRule>
    <cfRule type="expression" dxfId="188" priority="1493">
      <formula>P29&lt;P$4</formula>
    </cfRule>
    <cfRule type="cellIs" dxfId="187" priority="1497" operator="between">
      <formula>0.1</formula>
      <formula>0.999</formula>
    </cfRule>
    <cfRule type="cellIs" dxfId="186" priority="1498" operator="lessThan">
      <formula>0.1</formula>
    </cfRule>
    <cfRule type="cellIs" dxfId="185" priority="1496" operator="between">
      <formula>1</formula>
      <formula>10</formula>
    </cfRule>
  </conditionalFormatting>
  <conditionalFormatting sqref="P31:R31">
    <cfRule type="cellIs" dxfId="184" priority="1488" operator="greaterThanOrEqual">
      <formula>10000</formula>
    </cfRule>
    <cfRule type="cellIs" dxfId="183" priority="1490" operator="between">
      <formula>1</formula>
      <formula>10</formula>
    </cfRule>
    <cfRule type="cellIs" dxfId="182" priority="1491" operator="between">
      <formula>0.1</formula>
      <formula>0.999</formula>
    </cfRule>
    <cfRule type="cellIs" dxfId="181" priority="1489" operator="greaterThanOrEqual">
      <formula>10</formula>
    </cfRule>
    <cfRule type="expression" dxfId="180" priority="1487">
      <formula>P31&lt;P$4</formula>
    </cfRule>
    <cfRule type="cellIs" dxfId="179" priority="1492" operator="lessThan">
      <formula>0.1</formula>
    </cfRule>
  </conditionalFormatting>
  <conditionalFormatting sqref="P33:R33">
    <cfRule type="cellIs" dxfId="178" priority="1474" operator="lessThan">
      <formula>0.1</formula>
    </cfRule>
    <cfRule type="cellIs" dxfId="177" priority="1473" operator="between">
      <formula>0.1</formula>
      <formula>0.999</formula>
    </cfRule>
    <cfRule type="cellIs" dxfId="176" priority="1472" operator="between">
      <formula>1</formula>
      <formula>10</formula>
    </cfRule>
    <cfRule type="cellIs" dxfId="175" priority="1471" operator="greaterThanOrEqual">
      <formula>10</formula>
    </cfRule>
    <cfRule type="cellIs" dxfId="174" priority="1470" operator="greaterThanOrEqual">
      <formula>10000</formula>
    </cfRule>
    <cfRule type="expression" dxfId="173" priority="1469">
      <formula>P33&lt;P$4</formula>
    </cfRule>
  </conditionalFormatting>
  <conditionalFormatting sqref="P35:R35">
    <cfRule type="cellIs" dxfId="172" priority="1468" operator="lessThan">
      <formula>0.1</formula>
    </cfRule>
    <cfRule type="expression" dxfId="171" priority="1463">
      <formula>P35&lt;P$4</formula>
    </cfRule>
    <cfRule type="cellIs" dxfId="170" priority="1464" operator="greaterThanOrEqual">
      <formula>10000</formula>
    </cfRule>
    <cfRule type="cellIs" dxfId="169" priority="1465" operator="greaterThanOrEqual">
      <formula>10</formula>
    </cfRule>
    <cfRule type="cellIs" dxfId="168" priority="1466" operator="between">
      <formula>1</formula>
      <formula>10</formula>
    </cfRule>
    <cfRule type="cellIs" dxfId="167" priority="1467" operator="between">
      <formula>0.1</formula>
      <formula>0.999</formula>
    </cfRule>
  </conditionalFormatting>
  <conditionalFormatting sqref="P37:R37">
    <cfRule type="cellIs" dxfId="166" priority="1460" operator="between">
      <formula>1</formula>
      <formula>10</formula>
    </cfRule>
    <cfRule type="cellIs" dxfId="165" priority="1462" operator="lessThan">
      <formula>0.1</formula>
    </cfRule>
    <cfRule type="cellIs" dxfId="164" priority="1461" operator="between">
      <formula>0.1</formula>
      <formula>0.999</formula>
    </cfRule>
    <cfRule type="cellIs" dxfId="163" priority="1459" operator="greaterThanOrEqual">
      <formula>10</formula>
    </cfRule>
    <cfRule type="cellIs" dxfId="162" priority="1458" operator="greaterThanOrEqual">
      <formula>10000</formula>
    </cfRule>
    <cfRule type="expression" dxfId="161" priority="1457">
      <formula>P37&lt;P$4</formula>
    </cfRule>
  </conditionalFormatting>
  <conditionalFormatting sqref="P39:R39">
    <cfRule type="cellIs" dxfId="160" priority="1456" operator="lessThan">
      <formula>0.1</formula>
    </cfRule>
    <cfRule type="cellIs" dxfId="159" priority="1454" operator="between">
      <formula>1</formula>
      <formula>10</formula>
    </cfRule>
    <cfRule type="cellIs" dxfId="158" priority="1455" operator="between">
      <formula>0.1</formula>
      <formula>0.999</formula>
    </cfRule>
    <cfRule type="cellIs" dxfId="157" priority="1453" operator="greaterThanOrEqual">
      <formula>10</formula>
    </cfRule>
    <cfRule type="cellIs" dxfId="156" priority="1452" operator="greaterThanOrEqual">
      <formula>10000</formula>
    </cfRule>
    <cfRule type="expression" dxfId="155" priority="1451">
      <formula>P39&lt;P$4</formula>
    </cfRule>
  </conditionalFormatting>
  <conditionalFormatting sqref="P41:R41">
    <cfRule type="cellIs" dxfId="154" priority="1447" operator="greaterThanOrEqual">
      <formula>10</formula>
    </cfRule>
    <cfRule type="cellIs" dxfId="153" priority="1446" operator="greaterThanOrEqual">
      <formula>10000</formula>
    </cfRule>
    <cfRule type="cellIs" dxfId="152" priority="1448" operator="between">
      <formula>1</formula>
      <formula>10</formula>
    </cfRule>
    <cfRule type="cellIs" dxfId="151" priority="1450" operator="lessThan">
      <formula>0.1</formula>
    </cfRule>
    <cfRule type="expression" dxfId="150" priority="1445">
      <formula>P41&lt;P$4</formula>
    </cfRule>
    <cfRule type="cellIs" dxfId="149" priority="1449" operator="between">
      <formula>0.1</formula>
      <formula>0.999</formula>
    </cfRule>
  </conditionalFormatting>
  <conditionalFormatting sqref="P43:R43">
    <cfRule type="cellIs" dxfId="148" priority="1440" operator="greaterThanOrEqual">
      <formula>10000</formula>
    </cfRule>
    <cfRule type="cellIs" dxfId="147" priority="1444" operator="lessThan">
      <formula>0.1</formula>
    </cfRule>
    <cfRule type="cellIs" dxfId="146" priority="1443" operator="between">
      <formula>0.1</formula>
      <formula>0.999</formula>
    </cfRule>
    <cfRule type="cellIs" dxfId="145" priority="1442" operator="between">
      <formula>1</formula>
      <formula>10</formula>
    </cfRule>
    <cfRule type="cellIs" dxfId="144" priority="1441" operator="greaterThanOrEqual">
      <formula>10</formula>
    </cfRule>
    <cfRule type="expression" dxfId="143" priority="1439">
      <formula>P43&lt;P$4</formula>
    </cfRule>
  </conditionalFormatting>
  <conditionalFormatting sqref="P45:R45">
    <cfRule type="cellIs" dxfId="142" priority="1438" operator="lessThan">
      <formula>0.1</formula>
    </cfRule>
    <cfRule type="cellIs" dxfId="141" priority="1434" operator="greaterThanOrEqual">
      <formula>10000</formula>
    </cfRule>
    <cfRule type="expression" dxfId="140" priority="1433">
      <formula>P45&lt;P$4</formula>
    </cfRule>
    <cfRule type="cellIs" dxfId="139" priority="1435" operator="greaterThanOrEqual">
      <formula>10</formula>
    </cfRule>
    <cfRule type="cellIs" dxfId="138" priority="1436" operator="between">
      <formula>1</formula>
      <formula>10</formula>
    </cfRule>
    <cfRule type="cellIs" dxfId="137" priority="1437" operator="between">
      <formula>0.1</formula>
      <formula>0.999</formula>
    </cfRule>
  </conditionalFormatting>
  <conditionalFormatting sqref="P47:R47">
    <cfRule type="cellIs" dxfId="136" priority="1430" operator="between">
      <formula>1</formula>
      <formula>10</formula>
    </cfRule>
    <cfRule type="cellIs" dxfId="135" priority="1431" operator="between">
      <formula>0.1</formula>
      <formula>0.999</formula>
    </cfRule>
    <cfRule type="cellIs" dxfId="134" priority="1432" operator="lessThan">
      <formula>0.1</formula>
    </cfRule>
    <cfRule type="expression" dxfId="133" priority="1427">
      <formula>P47&lt;P$4</formula>
    </cfRule>
    <cfRule type="cellIs" dxfId="132" priority="1428" operator="greaterThanOrEqual">
      <formula>10000</formula>
    </cfRule>
    <cfRule type="cellIs" dxfId="131" priority="1429" operator="greaterThanOrEqual">
      <formula>10</formula>
    </cfRule>
  </conditionalFormatting>
  <conditionalFormatting sqref="P49:R49">
    <cfRule type="expression" dxfId="130" priority="1409">
      <formula>P49&lt;P$4</formula>
    </cfRule>
    <cfRule type="cellIs" dxfId="129" priority="1412" operator="between">
      <formula>1</formula>
      <formula>10</formula>
    </cfRule>
    <cfRule type="cellIs" dxfId="128" priority="1410" operator="greaterThanOrEqual">
      <formula>10000</formula>
    </cfRule>
    <cfRule type="cellIs" dxfId="127" priority="1413" operator="between">
      <formula>0.1</formula>
      <formula>0.999</formula>
    </cfRule>
    <cfRule type="cellIs" dxfId="126" priority="1414" operator="lessThan">
      <formula>0.1</formula>
    </cfRule>
    <cfRule type="cellIs" dxfId="125" priority="1411" operator="greaterThanOrEqual">
      <formula>10</formula>
    </cfRule>
  </conditionalFormatting>
  <conditionalFormatting sqref="P51:R51">
    <cfRule type="cellIs" dxfId="124" priority="1405" operator="greaterThanOrEqual">
      <formula>10</formula>
    </cfRule>
    <cfRule type="cellIs" dxfId="123" priority="1408" operator="lessThan">
      <formula>0.1</formula>
    </cfRule>
    <cfRule type="cellIs" dxfId="122" priority="1407" operator="between">
      <formula>0.1</formula>
      <formula>0.999</formula>
    </cfRule>
    <cfRule type="cellIs" dxfId="121" priority="1406" operator="between">
      <formula>1</formula>
      <formula>10</formula>
    </cfRule>
    <cfRule type="cellIs" dxfId="120" priority="1404" operator="greaterThanOrEqual">
      <formula>10000</formula>
    </cfRule>
    <cfRule type="expression" dxfId="119" priority="1403">
      <formula>P51&lt;P$4</formula>
    </cfRule>
  </conditionalFormatting>
  <conditionalFormatting sqref="R10 R12 R14 R16 R18 R20 R22 R24 R26 R28 R34 R36 R38 R40 R42 R44 R46 R48 R54 R56 R58 R60 R62 R64 R66 R68 R74 R76 R78 R80 R82 R84 R86 R88 R90 R92 R98 R100 R102 R104 R106 R108 R110 R112 R114 R116 R118 R120 R122 R124 R126 R128 R130 R132 R134 R136 R138 R140 R142 R144 R146 R148 R150 R152 R158 R160 R162 R164 R166 R168 R170 R172 R182 R184 R186 R188 R190 R192 R194 R196 R198 R200 R202 R204 R206 R208 R213:R248 R250 R252 R254 R256 R258 R260 R262 R264:R292 R294 R296 R298 R300 R306 R308 R310 R312 R314 R316 R318 R320">
    <cfRule type="cellIs" dxfId="118" priority="1588" operator="lessThan">
      <formula>100</formula>
    </cfRule>
  </conditionalFormatting>
  <conditionalFormatting sqref="R174 R176">
    <cfRule type="cellIs" dxfId="117" priority="111" operator="lessThan">
      <formula>100</formula>
    </cfRule>
  </conditionalFormatting>
  <conditionalFormatting sqref="R278 R280">
    <cfRule type="cellIs" dxfId="116" priority="1587" operator="lessThan">
      <formula>300</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F53F590B-A07D-4623-BF0D-F103D0FBB70E}">
          <x14:formula1>
            <xm:f>'List Values'!$F$20:$F$22</xm:f>
          </x14:formula1>
          <xm:sqref>T9:W9 T11:W11 T315:W315 T313:W313 T13:W13 T15:W15 T25:W25 T27:W27 T35:W35 T19:W19 T21:W21 T23:W23 T17:W17 T33:W33 T37:W37 T39:W39 T41:W41 T43:W43 T45:W45 T47:W47 T53:W53 T55:W55 T57:W57 T59:W59 T73:W73 T75:W75 T77:W77 T79:W79 T81:W81 T83:W83 T85:W85 T87:W87 T89:W89 T91:W91 T97:W97 T99:W99 T101:W101 T103:W103 T105:W105 T107:W107 T109:W109 T111:W111 T113:W113 T115:W115 T117:W117 T119:W119 T121:W121 T123:W123 T125:W125 T127:W127 T145:W145 T147:W147 T149:W149 T151:W151 T269:W269 T271:W271 T307:W307 T305:W305 T249:W249 T251:W251 T253:W253 T255:W255 T257:W257 T259:W259 T233:W233 T235:W235 T237:W237 T239:W239 T295:W295 T293:W293 T213:W213 T215:W215 T217:W217 T219:W219 T225:W225 T227:W227 T283:W283 T281:W281 T181:W181 T183:W183 T189:W189 T191:W191 T193:W193 T195:W195 T201:W201 T203:W203 T157:W157 T159:W159 T311:W311 T309:W309 T319:W319 T317:W317 T165:W165 T167:W167 T169:W169 T171:W171 T161:W161 T163:W163 T129:W129 T131:W131 T133:W133 T135:W135 T137:W137 T139:W139 T141:W141 T143:W143 T61:W61 T63:W63 T65:W65 T67:W67 T205:W205 T207:W207 T241:W241 T243:W243 T261:W261 T263:W263 T273:W273 T275:W275 T287:W287 T285:W285 T299:W299 T297:W297 T185:W185 T187:W187 T221:W221 T223:W223</xm:sqref>
        </x14:dataValidation>
        <x14:dataValidation type="list" allowBlank="1" showInputMessage="1" showErrorMessage="1" xr:uid="{33A76FC7-DD05-46C6-BA35-45A3ED0A97E7}">
          <x14:formula1>
            <xm:f>'List Values'!$I$2:$I$4</xm:f>
          </x14:formula1>
          <xm:sqref>T29:W29 T31:W31 T49:W49 T51:W51 T69:W69 T71:W71 T93:W93 T95:W95 T153:W153 T155:W155 T277:W277 T279:W279 T265:W265 T267:W267 T245:W245 T247:W247 T229:W229 T231:W231 T209:W209 T211:W211 T177:W177 T179:W179 T301:W301 T303:W303 T289:W289 T291:W291 T321:W321 T323:W323 T173:W173 T175:W175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AD8A6-1677-465E-88B2-1343E7284108}">
  <sheetPr codeName="Sheet7">
    <tabColor rgb="FF92D050"/>
  </sheetPr>
  <dimension ref="A1:AA55"/>
  <sheetViews>
    <sheetView workbookViewId="0"/>
  </sheetViews>
  <sheetFormatPr defaultColWidth="8.81640625" defaultRowHeight="13" x14ac:dyDescent="0.35"/>
  <cols>
    <col min="1" max="1" width="2.26953125" style="129" customWidth="1"/>
    <col min="2" max="2" width="4.81640625" style="130" bestFit="1" customWidth="1"/>
    <col min="3" max="3" width="11.7265625" style="131" customWidth="1"/>
    <col min="4" max="4" width="14.26953125" style="132" customWidth="1"/>
    <col min="5" max="5" width="22.1796875" style="131" customWidth="1"/>
    <col min="6" max="6" width="18.54296875" style="131" customWidth="1"/>
    <col min="7" max="7" width="2.7265625" style="129" customWidth="1"/>
    <col min="8" max="8" width="21.7265625" style="129" customWidth="1"/>
    <col min="9" max="9" width="17.453125" style="129" customWidth="1"/>
    <col min="10" max="10" width="14.1796875" style="129" customWidth="1"/>
    <col min="11" max="13" width="14" style="129" customWidth="1"/>
    <col min="14" max="14" width="14.453125" style="129" customWidth="1"/>
    <col min="15" max="16" width="14" style="129" customWidth="1"/>
    <col min="17" max="17" width="7.453125" style="129" customWidth="1"/>
    <col min="18" max="18" width="6.81640625" style="129" customWidth="1"/>
    <col min="19" max="19" width="18" style="129" bestFit="1" customWidth="1"/>
    <col min="20" max="20" width="16.81640625" style="129" customWidth="1"/>
    <col min="21" max="21" width="12.81640625" style="129" customWidth="1"/>
    <col min="22" max="22" width="15.7265625" style="129" customWidth="1"/>
    <col min="23" max="23" width="14" style="129" customWidth="1"/>
    <col min="24" max="24" width="10.453125" style="129" customWidth="1"/>
    <col min="25" max="25" width="10.1796875" style="129" customWidth="1"/>
    <col min="26" max="16384" width="8.81640625" style="129"/>
  </cols>
  <sheetData>
    <row r="1" spans="1:25" ht="13.5" thickBot="1" x14ac:dyDescent="0.4"/>
    <row r="2" spans="1:25" s="133" customFormat="1" ht="15.75" customHeight="1" thickBot="1" x14ac:dyDescent="0.4">
      <c r="B2" s="134"/>
      <c r="C2" s="135"/>
      <c r="D2" s="135"/>
      <c r="E2" s="135"/>
      <c r="F2" s="135"/>
      <c r="H2" s="136" t="s">
        <v>57</v>
      </c>
      <c r="I2" s="137" t="s">
        <v>227</v>
      </c>
      <c r="J2" s="138"/>
      <c r="L2" s="139"/>
      <c r="S2" s="140" t="s">
        <v>58</v>
      </c>
    </row>
    <row r="3" spans="1:25" s="133" customFormat="1" ht="26" x14ac:dyDescent="0.35">
      <c r="B3" s="134"/>
      <c r="C3" s="135"/>
      <c r="D3" s="135"/>
      <c r="E3" s="135"/>
      <c r="F3" s="135"/>
      <c r="H3" s="141" t="s">
        <v>59</v>
      </c>
      <c r="I3" s="142" t="s">
        <v>228</v>
      </c>
      <c r="J3" s="143"/>
      <c r="S3" s="144" t="s">
        <v>60</v>
      </c>
    </row>
    <row r="4" spans="1:25" s="133" customFormat="1" ht="39.5" thickBot="1" x14ac:dyDescent="0.4">
      <c r="B4" s="134"/>
      <c r="C4" s="135"/>
      <c r="D4" s="135"/>
      <c r="E4" s="135"/>
      <c r="F4" s="135"/>
      <c r="H4" s="145" t="s">
        <v>319</v>
      </c>
      <c r="I4" s="146" t="s">
        <v>68</v>
      </c>
      <c r="J4" s="147"/>
      <c r="S4" s="148" t="str">
        <f>VLOOKUP(H4, 'List Values'!B1:C59, 2, FALSE)</f>
        <v>Manufacturing</v>
      </c>
    </row>
    <row r="5" spans="1:25" s="133" customFormat="1" ht="23.25" customHeight="1" x14ac:dyDescent="0.35">
      <c r="A5" s="149"/>
      <c r="B5" s="134"/>
      <c r="C5" s="135"/>
      <c r="D5" s="135"/>
      <c r="E5" s="135"/>
      <c r="F5" s="135"/>
      <c r="J5" s="135"/>
      <c r="K5" s="135"/>
      <c r="L5" s="150"/>
      <c r="M5" s="150"/>
      <c r="S5" s="131"/>
      <c r="T5" s="135"/>
      <c r="U5" s="151"/>
    </row>
    <row r="6" spans="1:25" s="133" customFormat="1" x14ac:dyDescent="0.35">
      <c r="B6" s="134"/>
      <c r="C6" s="135"/>
      <c r="D6" s="135"/>
      <c r="E6" s="135"/>
      <c r="F6" s="135"/>
      <c r="H6" s="151" t="s">
        <v>229</v>
      </c>
      <c r="I6" s="134"/>
      <c r="J6" s="135"/>
      <c r="K6" s="135"/>
      <c r="L6" s="135"/>
      <c r="M6" s="135"/>
      <c r="S6" s="151" t="s">
        <v>58</v>
      </c>
      <c r="T6" s="129"/>
      <c r="U6" s="129"/>
      <c r="V6" s="131"/>
      <c r="W6" s="135"/>
    </row>
    <row r="7" spans="1:25" ht="13.5" thickBot="1" x14ac:dyDescent="0.4">
      <c r="H7" s="152" t="s">
        <v>62</v>
      </c>
      <c r="I7" s="130"/>
      <c r="L7" s="135"/>
      <c r="M7" s="135"/>
      <c r="S7" s="152" t="s">
        <v>62</v>
      </c>
      <c r="V7" s="131"/>
      <c r="W7" s="135"/>
    </row>
    <row r="8" spans="1:25" ht="52" x14ac:dyDescent="0.35">
      <c r="H8" s="153" t="s">
        <v>63</v>
      </c>
      <c r="I8" s="154" t="s">
        <v>64</v>
      </c>
      <c r="J8" s="155" t="s">
        <v>230</v>
      </c>
      <c r="K8" s="155" t="s">
        <v>231</v>
      </c>
      <c r="L8" s="155" t="s">
        <v>232</v>
      </c>
      <c r="M8" s="155" t="s">
        <v>77</v>
      </c>
      <c r="N8" s="155" t="s">
        <v>78</v>
      </c>
      <c r="O8" s="156" t="s">
        <v>233</v>
      </c>
      <c r="S8" s="157" t="s">
        <v>63</v>
      </c>
      <c r="T8" s="158" t="s">
        <v>64</v>
      </c>
      <c r="U8" s="155" t="s">
        <v>429</v>
      </c>
      <c r="V8" s="155" t="s">
        <v>430</v>
      </c>
      <c r="W8" s="155" t="s">
        <v>431</v>
      </c>
      <c r="X8" s="155" t="s">
        <v>432</v>
      </c>
      <c r="Y8" s="44"/>
    </row>
    <row r="9" spans="1:25" ht="40.5" customHeight="1" thickBot="1" x14ac:dyDescent="0.4">
      <c r="H9" s="159"/>
      <c r="I9" s="160"/>
      <c r="J9" s="161" t="s">
        <v>234</v>
      </c>
      <c r="K9" s="161" t="s">
        <v>235</v>
      </c>
      <c r="L9" s="161" t="s">
        <v>236</v>
      </c>
      <c r="M9" s="161" t="s">
        <v>237</v>
      </c>
      <c r="N9" s="161" t="s">
        <v>237</v>
      </c>
      <c r="O9" s="162" t="s">
        <v>238</v>
      </c>
      <c r="S9" s="163"/>
      <c r="T9" s="164"/>
      <c r="U9" s="161" t="s">
        <v>447</v>
      </c>
      <c r="V9" s="161" t="s">
        <v>448</v>
      </c>
      <c r="W9" s="161" t="s">
        <v>449</v>
      </c>
      <c r="X9" s="161" t="s">
        <v>450</v>
      </c>
      <c r="Y9" s="44"/>
    </row>
    <row r="10" spans="1:25" ht="14.5" x14ac:dyDescent="0.35">
      <c r="H10" s="165" t="s">
        <v>68</v>
      </c>
      <c r="I10" s="166" t="s">
        <v>71</v>
      </c>
      <c r="J10" s="167">
        <f>SUMIFS('Inhalation Exposure_Short-Term'!$F:$F,'Inhalation Exposure_Short-Term'!$C:$C,$H$4,'Inhalation Exposure_Short-Term'!$D:$D,$H10)</f>
        <v>0</v>
      </c>
      <c r="K10" s="167">
        <f>SUMIFS('Inhalation Exposure_8-hr'!$H:$H,'Inhalation Exposure_8-hr'!$C:$C,$H$4,'Inhalation Exposure_8-hr'!$D:$D,$H10)</f>
        <v>0.1084536826903239</v>
      </c>
      <c r="L10" s="167">
        <f>SUMIFS('Inhalation Exposure_8-hr'!$J:$J,'Inhalation Exposure_8-hr'!$C:$C,$H$4,'Inhalation Exposure_8-hr'!$D:$D,$H10)</f>
        <v>7.3778015435594493E-2</v>
      </c>
      <c r="M10" s="167">
        <f>SUMIFS('Inhalation Exposure_8-hr'!$L:$L,'Inhalation Exposure_8-hr'!$C:$C,$H$4,'Inhalation Exposure_8-hr'!$D:$D,$H10)</f>
        <v>5.4103877986102625E-2</v>
      </c>
      <c r="N10" s="167">
        <f>SUMIFS('Inhalation Exposure_8-hr'!$N:$N,'Inhalation Exposure_8-hr'!$C:$C,$H$4,'Inhalation Exposure_8-hr'!$D:$D,$H10)</f>
        <v>5.0532887284653757E-2</v>
      </c>
      <c r="O10" s="168">
        <f>SUMIFS('Inhalation Exposure_8-hr'!$P:$P,'Inhalation Exposure_8-hr'!$C:$C,$H$4,'Inhalation Exposure_8-hr'!$D:$D,$H10)</f>
        <v>2.0083583408003418E-2</v>
      </c>
      <c r="S10" s="169" t="s">
        <v>70</v>
      </c>
      <c r="T10" s="170" t="s">
        <v>71</v>
      </c>
      <c r="U10" s="167">
        <f>SUMIF('Dermal Exposure'!$B$6:$B$19, $S$4, 'Dermal Exposure'!C6:C19)</f>
        <v>7.3694386639452389</v>
      </c>
      <c r="V10" s="167">
        <f>SUMIF('Dermal Exposure'!$B$6:$B$19, $S$4, 'Dermal Exposure'!D6:D19)</f>
        <v>9.211798329931549E-2</v>
      </c>
      <c r="W10" s="167">
        <f>SUMIF('Dermal Exposure'!$B$6:$B$19, $S$4, 'Dermal Exposure'!E6:E19)</f>
        <v>6.7553187752831353E-2</v>
      </c>
      <c r="X10" s="167">
        <f>SUMIF('Dermal Exposure'!$B$6:$B$19, $S$4, 'Dermal Exposure'!F6:F19)</f>
        <v>6.3094509109120192E-2</v>
      </c>
      <c r="Y10" s="44"/>
    </row>
    <row r="11" spans="1:25" ht="15.75" customHeight="1" thickBot="1" x14ac:dyDescent="0.4">
      <c r="H11" s="171" t="s">
        <v>80</v>
      </c>
      <c r="I11" s="172"/>
      <c r="J11" s="173">
        <f>SUMIFS('Inhalation Exposure_Short-Term'!$F:$F,'Inhalation Exposure_Short-Term'!$C:$C,$H$4,'Inhalation Exposure_Short-Term'!$D:$D,$H11)</f>
        <v>0</v>
      </c>
      <c r="K11" s="173">
        <f>SUMIFS('Inhalation Exposure_8-hr'!$H:$H,'Inhalation Exposure_8-hr'!$C:$C,$H$4,'Inhalation Exposure_8-hr'!$D:$D,$H11)</f>
        <v>0</v>
      </c>
      <c r="L11" s="173">
        <f>SUMIFS('Inhalation Exposure_8-hr'!$J:$J,'Inhalation Exposure_8-hr'!$C:$C,$H$4,'Inhalation Exposure_8-hr'!$D:$D,$H11)</f>
        <v>0</v>
      </c>
      <c r="M11" s="173">
        <f>SUMIFS('Inhalation Exposure_8-hr'!$L:$L,'Inhalation Exposure_8-hr'!$C:$C,$H$4,'Inhalation Exposure_8-hr'!$D:$D,$H11)</f>
        <v>0</v>
      </c>
      <c r="N11" s="173">
        <f>SUMIFS('Inhalation Exposure_8-hr'!$N:$N,'Inhalation Exposure_8-hr'!$C:$C,$H$4,'Inhalation Exposure_8-hr'!$D:$D,$H11)</f>
        <v>0</v>
      </c>
      <c r="O11" s="174">
        <f>SUMIFS('Inhalation Exposure_8-hr'!$P:$P,'Inhalation Exposure_8-hr'!$C:$C,$H$4,'Inhalation Exposure_8-hr'!$D:$D,$H11)</f>
        <v>0</v>
      </c>
      <c r="S11" s="175"/>
      <c r="T11" s="176" t="s">
        <v>69</v>
      </c>
      <c r="U11" s="177">
        <f>SUMIF('Dermal Exposure'!$B$6:$B$19, $S$4, 'Dermal Exposure'!H6:H19)</f>
        <v>20.634000633971503</v>
      </c>
      <c r="V11" s="177">
        <f>SUMIF('Dermal Exposure'!$B$6:$B$19, $S$4, 'Dermal Exposure'!I6:I19)</f>
        <v>0.25792500792464379</v>
      </c>
      <c r="W11" s="177">
        <f>SUMIF('Dermal Exposure'!$B$6:$B$19, $S$4, 'Dermal Exposure'!J6:J19)</f>
        <v>0.18914500581140545</v>
      </c>
      <c r="X11" s="177">
        <f>SUMIF('Dermal Exposure'!$B$6:$B$19, $S$4, 'Dermal Exposure'!K6:K19)</f>
        <v>0.17666096433194781</v>
      </c>
      <c r="Y11" s="44"/>
    </row>
    <row r="12" spans="1:25" ht="14.5" x14ac:dyDescent="0.35">
      <c r="H12" s="178" t="s">
        <v>68</v>
      </c>
      <c r="I12" s="179" t="s">
        <v>69</v>
      </c>
      <c r="J12" s="180">
        <f>SUMIFS('Inhalation Exposure_Short-Term'!$G:$G,'Inhalation Exposure_Short-Term'!$C:$C,$H$4,'Inhalation Exposure_Short-Term'!$D:$D,$H12)</f>
        <v>0</v>
      </c>
      <c r="K12" s="180">
        <f>SUMIFS('Inhalation Exposure_8-hr'!$I:$I,'Inhalation Exposure_8-hr'!$C:$C,$H$4,'Inhalation Exposure_8-hr'!$D:$D,$H12)</f>
        <v>0.57455230039199501</v>
      </c>
      <c r="L12" s="180">
        <f>SUMIFS('Inhalation Exposure_8-hr'!$K:$K,'Inhalation Exposure_8-hr'!$C:$C,$H$4,'Inhalation Exposure_8-hr'!$D:$D,$H12)</f>
        <v>0.39085190502856804</v>
      </c>
      <c r="M12" s="180">
        <f>SUMIFS('Inhalation Exposure_8-hr'!$M:$M,'Inhalation Exposure_8-hr'!$C:$C,$H$4,'Inhalation Exposure_8-hr'!$D:$D,$H12)</f>
        <v>0.28662473035428326</v>
      </c>
      <c r="N12" s="180">
        <f>SUMIFS('Inhalation Exposure_8-hr'!$O:$O,'Inhalation Exposure_8-hr'!$C:$C,$H$4,'Inhalation Exposure_8-hr'!$D:$D,$H12)</f>
        <v>0.26770678426614247</v>
      </c>
      <c r="O12" s="181">
        <f>SUMIFS('Inhalation Exposure_8-hr'!$Q:$Q,'Inhalation Exposure_8-hr'!$C:$C,$H$4,'Inhalation Exposure_8-hr'!$D:$D,$H12)</f>
        <v>0.1372855303928936</v>
      </c>
      <c r="S12" s="182" t="str">
        <f>_xlfn.CONCAT("Worker with Gloves; 
PF of ",'List Values'!I2)</f>
        <v>Worker with Gloves; 
PF of 5</v>
      </c>
      <c r="T12" s="170" t="s">
        <v>71</v>
      </c>
      <c r="U12" s="167">
        <f>U10/'List Values'!$I$2</f>
        <v>1.4738877327890478</v>
      </c>
      <c r="V12" s="167">
        <f>V10/'List Values'!$I$2</f>
        <v>1.8423596659863099E-2</v>
      </c>
      <c r="W12" s="167">
        <f>W10/'List Values'!$I$2</f>
        <v>1.351063755056627E-2</v>
      </c>
      <c r="X12" s="167">
        <f>X10/'List Values'!$I$2</f>
        <v>1.2618901821824038E-2</v>
      </c>
      <c r="Y12" s="44"/>
    </row>
    <row r="13" spans="1:25" ht="15" thickBot="1" x14ac:dyDescent="0.4">
      <c r="H13" s="183" t="s">
        <v>80</v>
      </c>
      <c r="I13" s="184"/>
      <c r="J13" s="185">
        <f>SUMIFS('Inhalation Exposure_Short-Term'!$G:$G,'Inhalation Exposure_Short-Term'!$C:$C,$H$4,'Inhalation Exposure_Short-Term'!$D:$D,$H13)</f>
        <v>0</v>
      </c>
      <c r="K13" s="185">
        <f>SUMIFS('Inhalation Exposure_8-hr'!$I:$I,'Inhalation Exposure_8-hr'!$C:$C,$H$4,'Inhalation Exposure_8-hr'!$D:$D,$H13)</f>
        <v>0</v>
      </c>
      <c r="L13" s="185">
        <f>SUMIFS('Inhalation Exposure_8-hr'!$K:$K,'Inhalation Exposure_8-hr'!$C:$C,$H$4,'Inhalation Exposure_8-hr'!$D:$D,$H13)</f>
        <v>0</v>
      </c>
      <c r="M13" s="185">
        <f>SUMIFS('Inhalation Exposure_8-hr'!$M:$M,'Inhalation Exposure_8-hr'!$C:$C,$H$4,'Inhalation Exposure_8-hr'!$D:$D,$H13)</f>
        <v>0</v>
      </c>
      <c r="N13" s="185">
        <f>SUMIFS('Inhalation Exposure_8-hr'!$O:$O,'Inhalation Exposure_8-hr'!$C:$C,$H$4,'Inhalation Exposure_8-hr'!$D:$D,$H13)</f>
        <v>0</v>
      </c>
      <c r="O13" s="186">
        <f>SUMIFS('Inhalation Exposure_8-hr'!$Q:$Q,'Inhalation Exposure_8-hr'!$C:$C,$H$4,'Inhalation Exposure_8-hr'!$D:$D,$H13)</f>
        <v>0</v>
      </c>
      <c r="S13" s="187"/>
      <c r="T13" s="188" t="s">
        <v>69</v>
      </c>
      <c r="U13" s="177">
        <f>U11/'List Values'!$I$2</f>
        <v>4.1268001267943006</v>
      </c>
      <c r="V13" s="177">
        <f>V11/'List Values'!$I$2</f>
        <v>5.1585001584928757E-2</v>
      </c>
      <c r="W13" s="177">
        <f>W11/'List Values'!$I$2</f>
        <v>3.7829001162281092E-2</v>
      </c>
      <c r="X13" s="177">
        <f>X11/'List Values'!$I$2</f>
        <v>3.5332192866389563E-2</v>
      </c>
      <c r="Y13" s="44"/>
    </row>
    <row r="14" spans="1:25" ht="14.5" x14ac:dyDescent="0.35">
      <c r="S14" s="182" t="str">
        <f>_xlfn.CONCAT("Worker with Gloves; 
PF of ",'List Values'!I3)</f>
        <v>Worker with Gloves; 
PF of 10</v>
      </c>
      <c r="T14" s="170" t="s">
        <v>71</v>
      </c>
      <c r="U14" s="167">
        <f>U10/'List Values'!$I$3</f>
        <v>0.73694386639452392</v>
      </c>
      <c r="V14" s="167">
        <f>V10/'List Values'!$I$3</f>
        <v>9.2117983299315493E-3</v>
      </c>
      <c r="W14" s="167">
        <f>W10/'List Values'!$I$3</f>
        <v>6.7553187752831352E-3</v>
      </c>
      <c r="X14" s="167">
        <f>X10/'List Values'!$I$3</f>
        <v>6.3094509109120189E-3</v>
      </c>
      <c r="Y14" s="44"/>
    </row>
    <row r="15" spans="1:25" ht="15" thickBot="1" x14ac:dyDescent="0.4">
      <c r="D15" s="131"/>
      <c r="S15" s="187"/>
      <c r="T15" s="188" t="s">
        <v>69</v>
      </c>
      <c r="U15" s="177">
        <f>U11/'List Values'!$I$3</f>
        <v>2.0634000633971503</v>
      </c>
      <c r="V15" s="177">
        <f>V11/'List Values'!$I$3</f>
        <v>2.5792500792464378E-2</v>
      </c>
      <c r="W15" s="177">
        <f>W11/'List Values'!$I$3</f>
        <v>1.8914500581140546E-2</v>
      </c>
      <c r="X15" s="177">
        <f>X11/'List Values'!$I$3</f>
        <v>1.7666096433194781E-2</v>
      </c>
      <c r="Y15" s="44"/>
    </row>
    <row r="16" spans="1:25" ht="15" customHeight="1" x14ac:dyDescent="0.35">
      <c r="D16" s="131"/>
      <c r="H16" s="130"/>
      <c r="S16" s="182" t="str">
        <f>_xlfn.CONCAT("Worker with Gloves; 
PF of ",'List Values'!I4)</f>
        <v>Worker with Gloves; 
PF of 20</v>
      </c>
      <c r="T16" s="170" t="s">
        <v>71</v>
      </c>
      <c r="U16" s="167">
        <f>U10/'List Values'!$I$4</f>
        <v>0.36847193319726196</v>
      </c>
      <c r="V16" s="167">
        <f>V10/'List Values'!$I$4</f>
        <v>4.6058991649657747E-3</v>
      </c>
      <c r="W16" s="167">
        <f>W10/'List Values'!$I$4</f>
        <v>3.3776593876415676E-3</v>
      </c>
      <c r="X16" s="167">
        <f>X10/'List Values'!$I$4</f>
        <v>3.1547254554560094E-3</v>
      </c>
      <c r="Y16" s="44"/>
    </row>
    <row r="17" spans="2:27" ht="15" thickBot="1" x14ac:dyDescent="0.4">
      <c r="D17" s="131"/>
      <c r="H17" s="130"/>
      <c r="S17" s="187"/>
      <c r="T17" s="176" t="s">
        <v>69</v>
      </c>
      <c r="U17" s="177">
        <f>U11/'List Values'!$I$4</f>
        <v>1.0317000316985752</v>
      </c>
      <c r="V17" s="177">
        <f>V11/'List Values'!$I$4</f>
        <v>1.2896250396232189E-2</v>
      </c>
      <c r="W17" s="177">
        <f>W11/'List Values'!$I$4</f>
        <v>9.4572502905702731E-3</v>
      </c>
      <c r="X17" s="177">
        <f>X11/'List Values'!$I$4</f>
        <v>8.8330482165973907E-3</v>
      </c>
      <c r="Y17" s="44"/>
    </row>
    <row r="18" spans="2:27" s="133" customFormat="1" ht="15.75" customHeight="1" x14ac:dyDescent="0.35">
      <c r="B18" s="134"/>
      <c r="C18" s="189"/>
      <c r="D18" s="189"/>
      <c r="E18" s="189"/>
      <c r="F18" s="189"/>
      <c r="G18" s="189"/>
      <c r="H18" s="190"/>
      <c r="I18" s="135"/>
      <c r="K18" s="190"/>
      <c r="L18" s="190"/>
      <c r="M18" s="190"/>
      <c r="N18" s="190"/>
      <c r="O18" s="190"/>
      <c r="P18" s="190"/>
      <c r="R18" s="189"/>
      <c r="S18" s="190"/>
      <c r="T18" s="135"/>
      <c r="V18" s="190"/>
    </row>
    <row r="19" spans="2:27" s="133" customFormat="1" ht="36" customHeight="1" thickBot="1" x14ac:dyDescent="0.4">
      <c r="B19" s="134"/>
      <c r="C19" s="135"/>
      <c r="D19" s="191"/>
      <c r="E19" s="191"/>
      <c r="F19" s="191"/>
      <c r="G19" s="192"/>
      <c r="H19" s="192" t="s">
        <v>239</v>
      </c>
      <c r="I19" s="135"/>
      <c r="K19" s="190"/>
      <c r="L19" s="193"/>
      <c r="M19" s="193"/>
      <c r="N19" s="194"/>
      <c r="O19" s="194"/>
      <c r="T19" s="192" t="s">
        <v>240</v>
      </c>
      <c r="U19" s="195"/>
      <c r="V19" s="195"/>
    </row>
    <row r="20" spans="2:27" s="133" customFormat="1" ht="13.5" customHeight="1" thickBot="1" x14ac:dyDescent="0.4">
      <c r="C20" s="196" t="s">
        <v>241</v>
      </c>
      <c r="D20" s="197" t="s">
        <v>242</v>
      </c>
      <c r="E20" s="198"/>
      <c r="F20" s="196" t="s">
        <v>243</v>
      </c>
      <c r="G20" s="199"/>
      <c r="H20" s="200" t="s">
        <v>72</v>
      </c>
      <c r="I20" s="154" t="s">
        <v>64</v>
      </c>
      <c r="J20" s="201" t="s">
        <v>73</v>
      </c>
      <c r="K20" s="202" t="str">
        <f>_xlfn.CONCAT("Exposure Estimates: ",$I$4," MOE")</f>
        <v>Exposure Estimates: Worker MOE</v>
      </c>
      <c r="L20" s="203"/>
      <c r="M20" s="203"/>
      <c r="N20" s="203"/>
      <c r="O20" s="203"/>
      <c r="P20" s="204"/>
      <c r="Q20" s="189"/>
      <c r="S20" s="205" t="s">
        <v>242</v>
      </c>
      <c r="T20" s="205" t="s">
        <v>243</v>
      </c>
      <c r="U20" s="200" t="s">
        <v>74</v>
      </c>
      <c r="V20" s="154" t="s">
        <v>64</v>
      </c>
      <c r="W20" s="201" t="s">
        <v>73</v>
      </c>
      <c r="X20" s="206" t="str">
        <f>_xlfn.CONCAT("Exposure Estimates: ",$I$4," MOE")</f>
        <v>Exposure Estimates: Worker MOE</v>
      </c>
      <c r="Y20" s="207"/>
      <c r="Z20" s="207"/>
      <c r="AA20" s="208"/>
    </row>
    <row r="21" spans="2:27" s="133" customFormat="1" ht="12.75" customHeight="1" thickBot="1" x14ac:dyDescent="0.4">
      <c r="C21" s="209"/>
      <c r="D21" s="210"/>
      <c r="E21" s="211"/>
      <c r="F21" s="209"/>
      <c r="G21" s="212"/>
      <c r="H21" s="213"/>
      <c r="I21" s="160"/>
      <c r="J21" s="214"/>
      <c r="K21" s="215" t="s">
        <v>244</v>
      </c>
      <c r="L21" s="161" t="s">
        <v>245</v>
      </c>
      <c r="M21" s="161" t="s">
        <v>246</v>
      </c>
      <c r="N21" s="161" t="s">
        <v>247</v>
      </c>
      <c r="O21" s="161" t="s">
        <v>248</v>
      </c>
      <c r="P21" s="162" t="s">
        <v>249</v>
      </c>
      <c r="Q21" s="189"/>
      <c r="S21" s="216"/>
      <c r="T21" s="216"/>
      <c r="U21" s="213"/>
      <c r="V21" s="160"/>
      <c r="W21" s="214"/>
      <c r="X21" s="217" t="s">
        <v>250</v>
      </c>
      <c r="Y21" s="217" t="s">
        <v>251</v>
      </c>
      <c r="Z21" s="217" t="s">
        <v>252</v>
      </c>
      <c r="AA21" s="218" t="s">
        <v>253</v>
      </c>
    </row>
    <row r="22" spans="2:27" s="133" customFormat="1" ht="20.25" customHeight="1" x14ac:dyDescent="0.35">
      <c r="B22" s="219" t="s">
        <v>75</v>
      </c>
      <c r="C22" s="220" t="s">
        <v>254</v>
      </c>
      <c r="D22" s="221" t="str">
        <f>INDEX('Health Data'!$D:$D, MATCH($B22, 'Health Data'!$F:$F, 0))</f>
        <v>Sensory irritation</v>
      </c>
      <c r="E22" s="222"/>
      <c r="F22" s="223" t="str">
        <f>INDEX('Health Data'!$E:$E, MATCH($B22, 'Health Data'!$F:$F, 0))</f>
        <v>Hurtt et.al. 1993 (1741343, High)</v>
      </c>
      <c r="G22" s="224"/>
      <c r="H22" s="225">
        <f>INDEX('Health Data'!$G:$G,MATCH(B22,'Health Data'!$F:$F,0))</f>
        <v>2000</v>
      </c>
      <c r="I22" s="226" t="s">
        <v>71</v>
      </c>
      <c r="J22" s="227">
        <f>INDEX('Health Data'!$H:$H,MATCH(B22,'Health Data'!$F:$F,0))</f>
        <v>30</v>
      </c>
      <c r="K22" s="228" t="str">
        <f>IFERROR($H22/IF($I$4="Worker",$J$10,$J$11), "")</f>
        <v/>
      </c>
      <c r="L22" s="228" t="str">
        <f>IFERROR($K22*'List Values'!$F$20, "")</f>
        <v/>
      </c>
      <c r="M22" s="228" t="str">
        <f>IFERROR($K22*'List Values'!$F$21, "")</f>
        <v/>
      </c>
      <c r="N22" s="228" t="str">
        <f>IFERROR($K22*'List Values'!$F$22, "")</f>
        <v/>
      </c>
      <c r="O22" s="228" t="str">
        <f>IFERROR($K22*'List Values'!$F$23, "")</f>
        <v/>
      </c>
      <c r="P22" s="229" t="str">
        <f>IFERROR($K22*'List Values'!$F$24, "")</f>
        <v/>
      </c>
      <c r="Q22" s="230"/>
      <c r="S22" s="223" t="s">
        <v>86</v>
      </c>
      <c r="T22" s="223" t="s">
        <v>86</v>
      </c>
      <c r="U22" s="225" t="s">
        <v>86</v>
      </c>
      <c r="V22" s="170" t="s">
        <v>71</v>
      </c>
      <c r="W22" s="231" t="s">
        <v>86</v>
      </c>
      <c r="X22" s="232" t="s">
        <v>86</v>
      </c>
      <c r="Y22" s="233"/>
      <c r="Z22" s="233"/>
      <c r="AA22" s="234"/>
    </row>
    <row r="23" spans="2:27" s="133" customFormat="1" ht="20.25" customHeight="1" thickBot="1" x14ac:dyDescent="0.4">
      <c r="B23" s="219"/>
      <c r="C23" s="235"/>
      <c r="D23" s="236"/>
      <c r="E23" s="237"/>
      <c r="F23" s="238"/>
      <c r="G23" s="224"/>
      <c r="H23" s="239"/>
      <c r="I23" s="240" t="s">
        <v>69</v>
      </c>
      <c r="J23" s="241">
        <f>INDEX('Health Data'!$H:$H,MATCH(B22,'Health Data'!$F:$F,0))</f>
        <v>30</v>
      </c>
      <c r="K23" s="242" t="str">
        <f>IFERROR($H22/IF($I$4="Worker",$J$12,$J$13), "")</f>
        <v/>
      </c>
      <c r="L23" s="243" t="str">
        <f>IFERROR($K23*'List Values'!$F$20, "")</f>
        <v/>
      </c>
      <c r="M23" s="243" t="str">
        <f>IFERROR($K23*'List Values'!$F$21, "")</f>
        <v/>
      </c>
      <c r="N23" s="243" t="str">
        <f>IFERROR($K23*'List Values'!$F$22, "")</f>
        <v/>
      </c>
      <c r="O23" s="243" t="str">
        <f>IFERROR($K23*'List Values'!$F$23, "")</f>
        <v/>
      </c>
      <c r="P23" s="244" t="str">
        <f>IFERROR($K23*'List Values'!$F$24, "")</f>
        <v/>
      </c>
      <c r="Q23" s="230"/>
      <c r="S23" s="238"/>
      <c r="T23" s="238"/>
      <c r="U23" s="239"/>
      <c r="V23" s="176" t="s">
        <v>69</v>
      </c>
      <c r="W23" s="245" t="s">
        <v>86</v>
      </c>
      <c r="X23" s="246"/>
      <c r="Y23" s="247"/>
      <c r="Z23" s="247"/>
      <c r="AA23" s="248"/>
    </row>
    <row r="24" spans="2:27" s="133" customFormat="1" ht="20.25" customHeight="1" x14ac:dyDescent="0.35">
      <c r="B24" s="219" t="s">
        <v>75</v>
      </c>
      <c r="C24" s="220" t="s">
        <v>255</v>
      </c>
      <c r="D24" s="221" t="str">
        <f>INDEX('Health Data'!$D:$D, MATCH($B24, 'Health Data'!$F:$F, 0))</f>
        <v>Sensory irritation</v>
      </c>
      <c r="E24" s="222"/>
      <c r="F24" s="223" t="str">
        <f>INDEX('Health Data'!$E:$E, MATCH($B24, 'Health Data'!$F:$F, 0))</f>
        <v>Hurtt et.al. 1993 (1741343, High)</v>
      </c>
      <c r="G24" s="224"/>
      <c r="H24" s="225">
        <f>INDEX('Health Data'!$G:$G,MATCH(B24,'Health Data'!$F:$F,0))</f>
        <v>2000</v>
      </c>
      <c r="I24" s="226" t="s">
        <v>71</v>
      </c>
      <c r="J24" s="227">
        <f>INDEX('Health Data'!$H:$H,MATCH(B24,'Health Data'!$F:$F,0))</f>
        <v>30</v>
      </c>
      <c r="K24" s="228">
        <f>IFERROR($H24/IF($I$4="Worker",$K$10,$K$11), "")</f>
        <v>18441.051980786608</v>
      </c>
      <c r="L24" s="228">
        <f>IFERROR($K24*'List Values'!$F$20, "")</f>
        <v>184410.51980786608</v>
      </c>
      <c r="M24" s="228">
        <f>IFERROR($K24*'List Values'!$F$21, "")</f>
        <v>461026.29951966519</v>
      </c>
      <c r="N24" s="228">
        <f>IFERROR($K24*'List Values'!$F$22, "")</f>
        <v>922052.59903933038</v>
      </c>
      <c r="O24" s="228">
        <f>IFERROR($K24*'List Values'!$F$23, "")</f>
        <v>18441051.980786607</v>
      </c>
      <c r="P24" s="229">
        <f>IFERROR($K24*'List Values'!$F$24, "")</f>
        <v>184410519.80786607</v>
      </c>
      <c r="Q24" s="230"/>
      <c r="S24" s="223" t="s">
        <v>86</v>
      </c>
      <c r="T24" s="223" t="s">
        <v>86</v>
      </c>
      <c r="U24" s="225" t="s">
        <v>86</v>
      </c>
      <c r="V24" s="170" t="s">
        <v>71</v>
      </c>
      <c r="W24" s="231" t="s">
        <v>86</v>
      </c>
      <c r="X24" s="232" t="s">
        <v>86</v>
      </c>
      <c r="Y24" s="233"/>
      <c r="Z24" s="233"/>
      <c r="AA24" s="234"/>
    </row>
    <row r="25" spans="2:27" s="133" customFormat="1" ht="20.25" customHeight="1" thickBot="1" x14ac:dyDescent="0.4">
      <c r="B25" s="219"/>
      <c r="C25" s="235"/>
      <c r="D25" s="236"/>
      <c r="E25" s="237"/>
      <c r="F25" s="238"/>
      <c r="G25" s="224"/>
      <c r="H25" s="239"/>
      <c r="I25" s="240" t="s">
        <v>69</v>
      </c>
      <c r="J25" s="241">
        <f>INDEX('Health Data'!$H:$H,MATCH(B24,'Health Data'!$F:$F,0))</f>
        <v>30</v>
      </c>
      <c r="K25" s="242">
        <f>IFERROR($H24/IF($I$4="Worker",$K$12,$K$13), "")</f>
        <v>3480.9711816234599</v>
      </c>
      <c r="L25" s="243">
        <f>IFERROR($K25*'List Values'!$F$20, "")</f>
        <v>34809.711816234601</v>
      </c>
      <c r="M25" s="243">
        <f>IFERROR($K25*'List Values'!$F$21, "")</f>
        <v>87024.279540586504</v>
      </c>
      <c r="N25" s="243">
        <f>IFERROR($K25*'List Values'!$F$22, "")</f>
        <v>174048.55908117301</v>
      </c>
      <c r="O25" s="243">
        <f>IFERROR($K25*'List Values'!$F$23, "")</f>
        <v>3480971.1816234598</v>
      </c>
      <c r="P25" s="244">
        <f>IFERROR($K25*'List Values'!$F$24, "")</f>
        <v>34809711.816234596</v>
      </c>
      <c r="Q25" s="230"/>
      <c r="S25" s="238"/>
      <c r="T25" s="238"/>
      <c r="U25" s="239"/>
      <c r="V25" s="176" t="s">
        <v>69</v>
      </c>
      <c r="W25" s="245" t="s">
        <v>86</v>
      </c>
      <c r="X25" s="246"/>
      <c r="Y25" s="247"/>
      <c r="Z25" s="247"/>
      <c r="AA25" s="248"/>
    </row>
    <row r="26" spans="2:27" s="133" customFormat="1" ht="20.25" customHeight="1" x14ac:dyDescent="0.35">
      <c r="B26" s="219" t="s">
        <v>81</v>
      </c>
      <c r="C26" s="249" t="s">
        <v>256</v>
      </c>
      <c r="D26" s="221" t="str">
        <f>INDEX('Health Data'!$D:$D, MATCH($B26, 'Health Data'!$F:$F, 0))</f>
        <v>Reduced Immune Function</v>
      </c>
      <c r="E26" s="222"/>
      <c r="F26" s="223" t="str">
        <f>INDEX('Health Data'!$E:$E, MATCH($B26, 'Health Data'!$F:$F, 0))</f>
        <v>Shopp et al. 1985 (5435222, High)</v>
      </c>
      <c r="G26" s="224"/>
      <c r="H26" s="250">
        <f>INDEX('Health Data'!$G:$G,MATCH(B26,'Health Data'!$F:$F,0))</f>
        <v>29.5</v>
      </c>
      <c r="I26" s="226" t="s">
        <v>71</v>
      </c>
      <c r="J26" s="251">
        <f>INDEX('Health Data'!$H:$H,MATCH(B26,'Health Data'!$F:$F,0))</f>
        <v>30</v>
      </c>
      <c r="K26" s="228">
        <f>IFERROR($H26/IF($I$4="Worker",$M$10,$M$11), "")</f>
        <v>545.24742214555317</v>
      </c>
      <c r="L26" s="228">
        <f>IFERROR($K26*'List Values'!$F$20, "")</f>
        <v>5452.4742214555317</v>
      </c>
      <c r="M26" s="228">
        <f>IFERROR($K26*'List Values'!$F$21, "")</f>
        <v>13631.185553638828</v>
      </c>
      <c r="N26" s="228">
        <f>IFERROR($K26*'List Values'!$F$22, "")</f>
        <v>27262.371107277657</v>
      </c>
      <c r="O26" s="228">
        <f>IFERROR($K26*'List Values'!$F$23, "")</f>
        <v>545247.42214555317</v>
      </c>
      <c r="P26" s="229">
        <f>IFERROR($K26*'List Values'!$F$24, "")</f>
        <v>5452474.2214555321</v>
      </c>
      <c r="Q26" s="230"/>
      <c r="R26" s="219" t="s">
        <v>76</v>
      </c>
      <c r="S26" s="252" t="str">
        <f>INDEX('Health Data'!$D:$D, MATCH($R26, 'Health Data'!$F:$F, 0))</f>
        <v>Reduced Immune Function</v>
      </c>
      <c r="T26" s="223" t="str">
        <f>INDEX('Health Data'!$E:$E, MATCH($R26, 'Health Data'!$F:$F, 0))</f>
        <v>Shopp et al. 1985 (5435222, High)</v>
      </c>
      <c r="U26" s="225">
        <f>IF($I$4="Worker", INDEX('Health Data'!$G:$G,MATCH(R26,'Health Data'!$F:$F,0)), "n/a")</f>
        <v>21.5</v>
      </c>
      <c r="V26" s="253" t="s">
        <v>71</v>
      </c>
      <c r="W26" s="254">
        <f>IF($I$4="Worker", INDEX('Health Data'!$H:$H,MATCH(R26,'Health Data'!$F:$F,0)), "n/a")</f>
        <v>30</v>
      </c>
      <c r="X26" s="255">
        <f>IFERROR($U26/W$10, "")</f>
        <v>318.26773413959091</v>
      </c>
      <c r="Y26" s="228">
        <f>IFERROR($U26/W$12, "")</f>
        <v>1591.3386706979547</v>
      </c>
      <c r="Z26" s="228">
        <f>IFERROR($U26/W$14, "")</f>
        <v>3182.6773413959095</v>
      </c>
      <c r="AA26" s="229">
        <f>IFERROR($U26/W$16, "")</f>
        <v>6365.354682791819</v>
      </c>
    </row>
    <row r="27" spans="2:27" s="133" customFormat="1" ht="20.25" customHeight="1" thickBot="1" x14ac:dyDescent="0.4">
      <c r="B27" s="219"/>
      <c r="C27" s="256"/>
      <c r="D27" s="236"/>
      <c r="E27" s="237"/>
      <c r="F27" s="238"/>
      <c r="G27" s="224"/>
      <c r="H27" s="257"/>
      <c r="I27" s="240" t="s">
        <v>69</v>
      </c>
      <c r="J27" s="258">
        <f>INDEX('Health Data'!$H:$H,MATCH(B26,'Health Data'!$F:$F,0))</f>
        <v>30</v>
      </c>
      <c r="K27" s="242">
        <f>IFERROR($H26/IF($I$4="Worker",$M$12,$M$13), "")</f>
        <v>102.92203315302363</v>
      </c>
      <c r="L27" s="243">
        <f>IFERROR($K27*'List Values'!$F$20, "")</f>
        <v>1029.2203315302363</v>
      </c>
      <c r="M27" s="243">
        <f>IFERROR($K27*'List Values'!$F$21, "")</f>
        <v>2573.050828825591</v>
      </c>
      <c r="N27" s="243">
        <f>IFERROR($K27*'List Values'!$F$22, "")</f>
        <v>5146.101657651182</v>
      </c>
      <c r="O27" s="243">
        <f>IFERROR($K27*'List Values'!$F$23, "")</f>
        <v>102922.03315302363</v>
      </c>
      <c r="P27" s="244">
        <f>IFERROR($K27*'List Values'!$F$24, "")</f>
        <v>1029220.3315302363</v>
      </c>
      <c r="Q27" s="230"/>
      <c r="R27" s="219"/>
      <c r="S27" s="259"/>
      <c r="T27" s="238"/>
      <c r="U27" s="239"/>
      <c r="V27" s="176" t="s">
        <v>69</v>
      </c>
      <c r="W27" s="260">
        <f>IF($I$4="Worker", INDEX('Health Data'!$H:$H,MATCH(R26,'Health Data'!$F:$F,0)), "n/a")</f>
        <v>30</v>
      </c>
      <c r="X27" s="261">
        <f>IFERROR($U26/W$11, "")</f>
        <v>113.66940357620349</v>
      </c>
      <c r="Y27" s="243">
        <f>IFERROR($U26/W$13, "")</f>
        <v>568.34701788101745</v>
      </c>
      <c r="Z27" s="243">
        <f>IFERROR($U26/W$15, "")</f>
        <v>1136.6940357620349</v>
      </c>
      <c r="AA27" s="244">
        <f>IFERROR($U26/W$17, "")</f>
        <v>2273.3880715240698</v>
      </c>
    </row>
    <row r="28" spans="2:27" s="133" customFormat="1" ht="20.25" customHeight="1" x14ac:dyDescent="0.35">
      <c r="B28" s="219" t="s">
        <v>82</v>
      </c>
      <c r="C28" s="196" t="s">
        <v>257</v>
      </c>
      <c r="D28" s="221" t="str">
        <f>INDEX('Health Data'!$D:$D, MATCH($B28, 'Health Data'!$F:$F, 0))</f>
        <v>Reduced Immune Function</v>
      </c>
      <c r="E28" s="222"/>
      <c r="F28" s="223" t="str">
        <f>INDEX('Health Data'!$E:$E, MATCH($B28, 'Health Data'!$F:$F, 0))</f>
        <v>Shopp et al. 1985 (5435222, High)</v>
      </c>
      <c r="G28" s="224"/>
      <c r="H28" s="250">
        <f>INDEX('Health Data'!$G:$G,MATCH(B28,'Health Data'!$F:$F,0))</f>
        <v>29.5</v>
      </c>
      <c r="I28" s="226" t="s">
        <v>71</v>
      </c>
      <c r="J28" s="251">
        <f>INDEX('Health Data'!$H:$H,MATCH(B28,'Health Data'!$F:$F,0))</f>
        <v>100</v>
      </c>
      <c r="K28" s="228">
        <f>IFERROR($H28/IF($I$4="Worker",$N$10,$N$11), "")</f>
        <v>583.77823997717235</v>
      </c>
      <c r="L28" s="228">
        <f>IFERROR($K28*'List Values'!$F$20, "")</f>
        <v>5837.7823997717232</v>
      </c>
      <c r="M28" s="228">
        <f>IFERROR($K28*'List Values'!$F$21, "")</f>
        <v>14594.455999429309</v>
      </c>
      <c r="N28" s="228">
        <f>IFERROR($K28*'List Values'!$F$22, "")</f>
        <v>29188.911998858617</v>
      </c>
      <c r="O28" s="228">
        <f>IFERROR($K28*'List Values'!$F$23, "")</f>
        <v>583778.23997717234</v>
      </c>
      <c r="P28" s="229">
        <f>IFERROR($K28*'List Values'!$F$24, "")</f>
        <v>5837782.3997717239</v>
      </c>
      <c r="Q28" s="262"/>
      <c r="R28" s="263" t="s">
        <v>79</v>
      </c>
      <c r="S28" s="252" t="str">
        <f>INDEX('Health Data'!$D:$D, MATCH($R28, 'Health Data'!$F:$F, 0))</f>
        <v>Reduced Immune Function</v>
      </c>
      <c r="T28" s="223" t="str">
        <f>INDEX('Health Data'!$E:$E, MATCH($R28, 'Health Data'!$F:$F, 0))</f>
        <v>Shopp et al. 1985 (5435222, High)</v>
      </c>
      <c r="U28" s="225">
        <f>IF($I$4="Worker", INDEX('Health Data'!$G:$G,MATCH(R28,'Health Data'!$F:$F,0)), "n/a")</f>
        <v>21.5</v>
      </c>
      <c r="V28" s="253" t="s">
        <v>71</v>
      </c>
      <c r="W28" s="254">
        <f>IF($I$4="Worker", INDEX('Health Data'!$H:$H,MATCH(R28,'Health Data'!$F:$F,0)), "n/a")</f>
        <v>100</v>
      </c>
      <c r="X28" s="255">
        <f>IFERROR($U28/X$10, "")</f>
        <v>340.75865401878872</v>
      </c>
      <c r="Y28" s="228">
        <f>IFERROR($U28/X$12, "")</f>
        <v>1703.7932700939436</v>
      </c>
      <c r="Z28" s="228">
        <f>IFERROR($U28/X$14, "")</f>
        <v>3407.5865401878873</v>
      </c>
      <c r="AA28" s="229">
        <f>IFERROR($U28/X$16, "")</f>
        <v>6815.1730803757746</v>
      </c>
    </row>
    <row r="29" spans="2:27" s="133" customFormat="1" ht="20.25" customHeight="1" thickBot="1" x14ac:dyDescent="0.4">
      <c r="B29" s="219"/>
      <c r="C29" s="209"/>
      <c r="D29" s="236"/>
      <c r="E29" s="237"/>
      <c r="F29" s="238"/>
      <c r="G29" s="224"/>
      <c r="H29" s="257"/>
      <c r="I29" s="240" t="s">
        <v>69</v>
      </c>
      <c r="J29" s="258">
        <f>INDEX('Health Data'!$H:$H,MATCH(B28,'Health Data'!$F:$F,0))</f>
        <v>100</v>
      </c>
      <c r="K29" s="242">
        <f>IFERROR($H28/IF($I$4="Worker",$N$12,$N$13), "")</f>
        <v>110.19519016250399</v>
      </c>
      <c r="L29" s="243">
        <f>IFERROR($K29*'List Values'!$F$20, "")</f>
        <v>1101.9519016250399</v>
      </c>
      <c r="M29" s="243">
        <f>IFERROR($K29*'List Values'!$F$21, "")</f>
        <v>2754.8797540625997</v>
      </c>
      <c r="N29" s="243">
        <f>IFERROR($K29*'List Values'!$F$22, "")</f>
        <v>5509.7595081251993</v>
      </c>
      <c r="O29" s="243">
        <f>IFERROR($K29*'List Values'!$F$23, "")</f>
        <v>110195.19016250399</v>
      </c>
      <c r="P29" s="244">
        <f>IFERROR($K29*'List Values'!$F$24, "")</f>
        <v>1101951.90162504</v>
      </c>
      <c r="Q29" s="262"/>
      <c r="R29" s="263"/>
      <c r="S29" s="259"/>
      <c r="T29" s="238"/>
      <c r="U29" s="239"/>
      <c r="V29" s="176" t="s">
        <v>69</v>
      </c>
      <c r="W29" s="260">
        <f>IF($I$4="Worker", INDEX('Health Data'!$H:$H,MATCH(R28,'Health Data'!$F:$F,0)), "n/a")</f>
        <v>100</v>
      </c>
      <c r="X29" s="261">
        <f>IFERROR($U28/X$11, "")</f>
        <v>121.70204142892186</v>
      </c>
      <c r="Y29" s="243">
        <f>IFERROR($U28/X$13, "")</f>
        <v>608.51020714460935</v>
      </c>
      <c r="Z29" s="243">
        <f>IFERROR($U28/X$15, "")</f>
        <v>1217.0204142892187</v>
      </c>
      <c r="AA29" s="244">
        <f>IFERROR($U28/X$17, "")</f>
        <v>2434.0408285784374</v>
      </c>
    </row>
    <row r="30" spans="2:27" s="44" customFormat="1" ht="14.5" x14ac:dyDescent="0.35"/>
    <row r="31" spans="2:27" s="44" customFormat="1" ht="14.5" x14ac:dyDescent="0.35"/>
    <row r="32" spans="2:27" s="133" customFormat="1" x14ac:dyDescent="0.35">
      <c r="B32" s="130"/>
      <c r="C32" s="131"/>
      <c r="D32" s="132"/>
      <c r="E32" s="131"/>
      <c r="F32" s="131"/>
      <c r="G32" s="129"/>
      <c r="H32" s="129"/>
      <c r="Q32" s="129"/>
      <c r="R32" s="129"/>
      <c r="S32" s="129"/>
    </row>
    <row r="33" spans="1:19" s="133" customFormat="1" x14ac:dyDescent="0.35">
      <c r="B33" s="130"/>
      <c r="C33" s="131"/>
      <c r="D33" s="132"/>
      <c r="E33" s="131"/>
      <c r="F33" s="131"/>
      <c r="G33" s="129"/>
      <c r="H33" s="129"/>
      <c r="Q33" s="129"/>
      <c r="R33" s="129"/>
      <c r="S33" s="129"/>
    </row>
    <row r="34" spans="1:19" x14ac:dyDescent="0.35">
      <c r="A34" s="133"/>
    </row>
    <row r="40" spans="1:19" x14ac:dyDescent="0.35">
      <c r="I40" s="133"/>
      <c r="J40" s="133"/>
      <c r="K40" s="133"/>
      <c r="L40" s="133"/>
      <c r="M40" s="133"/>
    </row>
    <row r="45" spans="1:19" x14ac:dyDescent="0.35">
      <c r="O45" s="133"/>
      <c r="P45" s="133"/>
      <c r="Q45" s="133"/>
      <c r="R45" s="133"/>
    </row>
    <row r="46" spans="1:19" x14ac:dyDescent="0.35">
      <c r="C46" s="135"/>
      <c r="D46" s="190"/>
      <c r="E46" s="135"/>
      <c r="F46" s="135"/>
      <c r="G46" s="133"/>
      <c r="H46" s="133"/>
    </row>
    <row r="48" spans="1:19" x14ac:dyDescent="0.35">
      <c r="B48" s="134"/>
    </row>
    <row r="49" spans="1:20" x14ac:dyDescent="0.35">
      <c r="B49" s="264"/>
      <c r="S49" s="133"/>
    </row>
    <row r="50" spans="1:20" x14ac:dyDescent="0.35">
      <c r="B50" s="264"/>
      <c r="I50" s="265"/>
      <c r="J50" s="265"/>
      <c r="K50" s="265"/>
      <c r="L50" s="265"/>
      <c r="M50" s="265"/>
      <c r="N50" s="133"/>
    </row>
    <row r="51" spans="1:20" s="133" customFormat="1" x14ac:dyDescent="0.35">
      <c r="A51" s="129"/>
      <c r="B51" s="264"/>
      <c r="C51" s="131"/>
      <c r="D51" s="132"/>
      <c r="E51" s="131"/>
      <c r="F51" s="131"/>
      <c r="G51" s="129"/>
      <c r="H51" s="129"/>
      <c r="I51" s="265"/>
      <c r="J51" s="265"/>
      <c r="K51" s="265"/>
      <c r="L51" s="265"/>
      <c r="M51" s="265"/>
      <c r="N51" s="129"/>
      <c r="O51" s="129"/>
      <c r="P51" s="129"/>
      <c r="Q51" s="129"/>
      <c r="R51" s="129"/>
      <c r="S51" s="129"/>
    </row>
    <row r="52" spans="1:20" x14ac:dyDescent="0.35">
      <c r="A52" s="133"/>
      <c r="B52" s="264"/>
      <c r="I52" s="266"/>
      <c r="J52" s="266"/>
      <c r="K52" s="266"/>
      <c r="L52" s="266"/>
      <c r="M52" s="266"/>
    </row>
    <row r="53" spans="1:20" x14ac:dyDescent="0.35">
      <c r="B53" s="264"/>
      <c r="I53" s="266"/>
      <c r="J53" s="266"/>
      <c r="K53" s="266"/>
      <c r="L53" s="266"/>
      <c r="M53" s="266"/>
    </row>
    <row r="54" spans="1:20" x14ac:dyDescent="0.35">
      <c r="B54" s="264"/>
    </row>
    <row r="55" spans="1:20" x14ac:dyDescent="0.35">
      <c r="B55" s="264"/>
      <c r="C55" s="267"/>
      <c r="D55" s="268"/>
      <c r="E55" s="267"/>
      <c r="R55" s="266"/>
      <c r="S55" s="266"/>
      <c r="T55" s="266"/>
    </row>
  </sheetData>
  <sheetProtection sheet="1" objects="1" scenarios="1" formatCells="0" formatColumns="0" formatRows="0" sort="0" autoFilter="0"/>
  <autoFilter ref="A1:AA55" xr:uid="{920AD8A6-1677-465E-88B2-1343E7284108}"/>
  <dataConsolidate link="1"/>
  <mergeCells count="62">
    <mergeCell ref="R26:R27"/>
    <mergeCell ref="R28:R29"/>
    <mergeCell ref="X22:AA23"/>
    <mergeCell ref="U26:U27"/>
    <mergeCell ref="S26:S27"/>
    <mergeCell ref="T26:T27"/>
    <mergeCell ref="S24:S25"/>
    <mergeCell ref="T24:T25"/>
    <mergeCell ref="U24:U25"/>
    <mergeCell ref="X24:AA25"/>
    <mergeCell ref="U28:U29"/>
    <mergeCell ref="T28:T29"/>
    <mergeCell ref="S28:S29"/>
    <mergeCell ref="B28:B29"/>
    <mergeCell ref="H28:H29"/>
    <mergeCell ref="C28:C29"/>
    <mergeCell ref="D28:E29"/>
    <mergeCell ref="F28:F29"/>
    <mergeCell ref="S8:S9"/>
    <mergeCell ref="L19:M19"/>
    <mergeCell ref="U22:U23"/>
    <mergeCell ref="T8:T9"/>
    <mergeCell ref="S10:S11"/>
    <mergeCell ref="S12:S13"/>
    <mergeCell ref="S16:S17"/>
    <mergeCell ref="S14:S15"/>
    <mergeCell ref="T22:T23"/>
    <mergeCell ref="S22:S23"/>
    <mergeCell ref="X20:AA20"/>
    <mergeCell ref="H20:H21"/>
    <mergeCell ref="I20:I21"/>
    <mergeCell ref="J20:J21"/>
    <mergeCell ref="U20:U21"/>
    <mergeCell ref="K20:P20"/>
    <mergeCell ref="W20:W21"/>
    <mergeCell ref="V20:V21"/>
    <mergeCell ref="T20:T21"/>
    <mergeCell ref="S20:S21"/>
    <mergeCell ref="I3:J3"/>
    <mergeCell ref="I4:J4"/>
    <mergeCell ref="F20:F21"/>
    <mergeCell ref="D20:E21"/>
    <mergeCell ref="C20:C21"/>
    <mergeCell ref="I12:I13"/>
    <mergeCell ref="H8:H9"/>
    <mergeCell ref="I8:I9"/>
    <mergeCell ref="I10:I11"/>
    <mergeCell ref="C24:C25"/>
    <mergeCell ref="F24:F25"/>
    <mergeCell ref="B24:B25"/>
    <mergeCell ref="H24:H25"/>
    <mergeCell ref="C26:C27"/>
    <mergeCell ref="D24:E25"/>
    <mergeCell ref="D26:E27"/>
    <mergeCell ref="F26:F27"/>
    <mergeCell ref="H26:H27"/>
    <mergeCell ref="B26:B27"/>
    <mergeCell ref="B22:B23"/>
    <mergeCell ref="C22:C23"/>
    <mergeCell ref="D22:E23"/>
    <mergeCell ref="F22:F23"/>
    <mergeCell ref="H22:H23"/>
  </mergeCells>
  <conditionalFormatting sqref="J10:O13">
    <cfRule type="cellIs" dxfId="115" priority="50" operator="between">
      <formula>1</formula>
      <formula>9.999</formula>
    </cfRule>
    <cfRule type="cellIs" dxfId="114" priority="48" operator="greaterThanOrEqual">
      <formula>10000</formula>
    </cfRule>
    <cfRule type="cellIs" dxfId="113" priority="49" operator="greaterThanOrEqual">
      <formula>10</formula>
    </cfRule>
    <cfRule type="cellIs" dxfId="112" priority="51" operator="between">
      <formula>0.1</formula>
      <formula>0.999</formula>
    </cfRule>
    <cfRule type="cellIs" dxfId="111" priority="52" operator="lessThanOrEqual">
      <formula>0.1</formula>
    </cfRule>
    <cfRule type="containsBlanks" dxfId="110" priority="53" stopIfTrue="1">
      <formula>LEN(TRIM(J10))=0</formula>
    </cfRule>
    <cfRule type="cellIs" dxfId="109" priority="54" operator="equal">
      <formula>0</formula>
    </cfRule>
  </conditionalFormatting>
  <conditionalFormatting sqref="K22:P29">
    <cfRule type="cellIs" dxfId="108" priority="107" operator="lessThan">
      <formula>$J22</formula>
    </cfRule>
    <cfRule type="cellIs" dxfId="107" priority="106" operator="greaterThanOrEqual">
      <formula>$J22</formula>
    </cfRule>
    <cfRule type="containsBlanks" dxfId="106" priority="105" stopIfTrue="1">
      <formula>LEN(TRIM(K22))=0</formula>
    </cfRule>
    <cfRule type="cellIs" dxfId="105" priority="104" operator="lessThanOrEqual">
      <formula>0.1</formula>
    </cfRule>
    <cfRule type="cellIs" dxfId="104" priority="103" operator="between">
      <formula>0.1</formula>
      <formula>0.999</formula>
    </cfRule>
    <cfRule type="cellIs" dxfId="103" priority="102" operator="between">
      <formula>1</formula>
      <formula>9.999</formula>
    </cfRule>
    <cfRule type="cellIs" dxfId="102" priority="101" operator="greaterThanOrEqual">
      <formula>10</formula>
    </cfRule>
    <cfRule type="cellIs" dxfId="101" priority="100" operator="greaterThanOrEqual">
      <formula>10000</formula>
    </cfRule>
  </conditionalFormatting>
  <conditionalFormatting sqref="Q22 Q24 Q26">
    <cfRule type="cellIs" dxfId="100" priority="1422" operator="lessThan">
      <formula>$J25</formula>
    </cfRule>
    <cfRule type="cellIs" dxfId="99" priority="1421" operator="greaterThanOrEqual">
      <formula>$J25</formula>
    </cfRule>
  </conditionalFormatting>
  <conditionalFormatting sqref="Q22:Q29">
    <cfRule type="cellIs" dxfId="98" priority="181" operator="lessThan">
      <formula>0.01</formula>
    </cfRule>
    <cfRule type="cellIs" dxfId="97" priority="182" operator="between">
      <formula>0.01</formula>
      <formula>1</formula>
    </cfRule>
    <cfRule type="cellIs" dxfId="96" priority="183" operator="between">
      <formula>1</formula>
      <formula>100</formula>
    </cfRule>
    <cfRule type="cellIs" dxfId="95" priority="184" operator="greaterThan">
      <formula>100</formula>
    </cfRule>
    <cfRule type="containsBlanks" dxfId="94" priority="185" stopIfTrue="1">
      <formula>LEN(TRIM(Q22))=0</formula>
    </cfRule>
  </conditionalFormatting>
  <conditionalFormatting sqref="Q23 Q25 Q27">
    <cfRule type="cellIs" dxfId="93" priority="1415" operator="greaterThanOrEqual">
      <formula>$J24</formula>
    </cfRule>
    <cfRule type="cellIs" dxfId="92" priority="1416" operator="lessThan">
      <formula>$J24</formula>
    </cfRule>
  </conditionalFormatting>
  <conditionalFormatting sqref="Q28:Q29">
    <cfRule type="cellIs" dxfId="91" priority="191" operator="greaterThanOrEqual">
      <formula>0.0001</formula>
    </cfRule>
  </conditionalFormatting>
  <conditionalFormatting sqref="U10:X17">
    <cfRule type="cellIs" dxfId="90" priority="70" operator="greaterThan">
      <formula>10</formula>
    </cfRule>
    <cfRule type="cellIs" dxfId="89" priority="71" operator="greaterThan">
      <formula>10000</formula>
    </cfRule>
    <cfRule type="cellIs" dxfId="88" priority="67" operator="lessThan">
      <formula>0.1</formula>
    </cfRule>
    <cfRule type="cellIs" dxfId="87" priority="60" operator="greaterThanOrEqual">
      <formula>10000</formula>
    </cfRule>
    <cfRule type="cellIs" dxfId="86" priority="61" operator="greaterThanOrEqual">
      <formula>10</formula>
    </cfRule>
    <cfRule type="cellIs" dxfId="85" priority="63" operator="between">
      <formula>0.1</formula>
      <formula>0.999</formula>
    </cfRule>
    <cfRule type="cellIs" dxfId="84" priority="64" operator="lessThanOrEqual">
      <formula>0.1</formula>
    </cfRule>
    <cfRule type="containsBlanks" dxfId="83" priority="65" stopIfTrue="1">
      <formula>LEN(TRIM(U10))=0</formula>
    </cfRule>
    <cfRule type="cellIs" dxfId="82" priority="66" operator="equal">
      <formula>0</formula>
    </cfRule>
    <cfRule type="cellIs" dxfId="81" priority="62" operator="between">
      <formula>1</formula>
      <formula>9.999</formula>
    </cfRule>
    <cfRule type="cellIs" dxfId="80" priority="68" operator="between">
      <formula>0.1</formula>
      <formula>0.999</formula>
    </cfRule>
    <cfRule type="cellIs" dxfId="79" priority="69" operator="between">
      <formula>1</formula>
      <formula>10</formula>
    </cfRule>
  </conditionalFormatting>
  <conditionalFormatting sqref="X26:AA29">
    <cfRule type="cellIs" dxfId="78" priority="7" operator="greaterThanOrEqual">
      <formula>$W26</formula>
    </cfRule>
    <cfRule type="cellIs" dxfId="77" priority="5" operator="lessThanOrEqual">
      <formula>0.1</formula>
    </cfRule>
    <cfRule type="cellIs" dxfId="76" priority="1" operator="greaterThanOrEqual">
      <formula>10000</formula>
    </cfRule>
    <cfRule type="cellIs" dxfId="75" priority="4" operator="between">
      <formula>0.1</formula>
      <formula>0.999</formula>
    </cfRule>
    <cfRule type="cellIs" dxfId="74" priority="3" operator="between">
      <formula>1</formula>
      <formula>9.999</formula>
    </cfRule>
    <cfRule type="cellIs" dxfId="73" priority="2" operator="greaterThanOrEqual">
      <formula>10</formula>
    </cfRule>
    <cfRule type="containsBlanks" dxfId="72" priority="6" stopIfTrue="1">
      <formula>LEN(TRIM(X26))=0</formula>
    </cfRule>
    <cfRule type="cellIs" dxfId="71" priority="8" operator="lessThan">
      <formula>$W26</formula>
    </cfRule>
  </conditionalFormatting>
  <dataValidations count="1">
    <dataValidation allowBlank="1" showErrorMessage="1" sqref="S8 H8 H10:H11 U8:U9 J8:K9" xr:uid="{B6FDB558-C6DA-450F-B0A7-6A9F371395FE}"/>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7B888423-487C-4515-BD78-F21A071FAC4A}">
          <x14:formula1>
            <xm:f>'List Values'!$I$13:$I$14</xm:f>
          </x14:formula1>
          <xm:sqref>I4</xm:sqref>
        </x14:dataValidation>
        <x14:dataValidation type="list" allowBlank="1" showInputMessage="1" showErrorMessage="1" xr:uid="{EEB43209-65D0-4ECD-98C8-2D730F6098A1}">
          <x14:formula1>
            <xm:f>'List Values'!$B$2:$B$67</xm:f>
          </x14:formula1>
          <xm:sqref>H4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9850F-DA4A-4D3D-97A6-3832AB231949}">
  <sheetPr codeName="Sheet8"/>
  <dimension ref="A1:O18"/>
  <sheetViews>
    <sheetView workbookViewId="0">
      <selection sqref="A1:L1"/>
    </sheetView>
  </sheetViews>
  <sheetFormatPr defaultColWidth="8.7265625" defaultRowHeight="14.5" x14ac:dyDescent="0.35"/>
  <cols>
    <col min="1" max="1" width="3.54296875" style="44" customWidth="1"/>
    <col min="2" max="2" width="21.7265625" style="44" customWidth="1"/>
    <col min="3" max="3" width="20.26953125" style="44" customWidth="1"/>
    <col min="4" max="4" width="30" style="44" customWidth="1"/>
    <col min="5" max="5" width="26.26953125" style="44" customWidth="1"/>
    <col min="6" max="6" width="8.7265625" style="44"/>
    <col min="7" max="8" width="21.453125" style="44" customWidth="1"/>
    <col min="9" max="9" width="20.7265625" style="44" customWidth="1"/>
    <col min="10" max="10" width="16.7265625" style="44" customWidth="1"/>
    <col min="11" max="11" width="14.26953125" style="44" customWidth="1"/>
    <col min="12" max="12" width="14.81640625" style="44" customWidth="1"/>
    <col min="13" max="13" width="18.54296875" style="44" customWidth="1"/>
    <col min="14" max="14" width="18" style="44" customWidth="1"/>
    <col min="15" max="15" width="20.7265625" style="44" bestFit="1" customWidth="1"/>
    <col min="16" max="16" width="14.7265625" style="44" customWidth="1"/>
    <col min="17" max="17" width="6.54296875" style="44" customWidth="1"/>
    <col min="18" max="16384" width="8.7265625" style="44"/>
  </cols>
  <sheetData>
    <row r="1" spans="1:15" s="44" customFormat="1" x14ac:dyDescent="0.35">
      <c r="A1" s="43"/>
      <c r="B1" s="43"/>
      <c r="C1" s="43"/>
      <c r="D1" s="43"/>
      <c r="E1" s="43"/>
      <c r="F1" s="43"/>
      <c r="G1" s="43"/>
      <c r="H1" s="43"/>
      <c r="I1" s="43"/>
      <c r="J1" s="43"/>
      <c r="K1" s="43"/>
      <c r="L1" s="43"/>
    </row>
    <row r="3" spans="1:15" s="44" customFormat="1" ht="18.5" x14ac:dyDescent="0.45">
      <c r="B3" s="269" t="s">
        <v>258</v>
      </c>
    </row>
    <row r="4" spans="1:15" s="44" customFormat="1" ht="39" customHeight="1" x14ac:dyDescent="0.35">
      <c r="B4" s="270" t="s">
        <v>259</v>
      </c>
      <c r="C4" s="270"/>
      <c r="D4" s="270"/>
      <c r="E4" s="270"/>
      <c r="F4" s="270"/>
      <c r="G4" s="271"/>
      <c r="H4" s="271"/>
      <c r="M4" s="44" t="s">
        <v>260</v>
      </c>
    </row>
    <row r="5" spans="1:15" s="44" customFormat="1" ht="14.5" customHeight="1" x14ac:dyDescent="0.35">
      <c r="B5" s="272" t="s">
        <v>107</v>
      </c>
      <c r="C5" s="273"/>
      <c r="D5" s="273"/>
      <c r="E5" s="273"/>
      <c r="F5" s="274"/>
      <c r="G5" s="275" t="s">
        <v>261</v>
      </c>
      <c r="H5" s="275"/>
      <c r="M5" s="276" t="s">
        <v>262</v>
      </c>
      <c r="N5" s="277"/>
      <c r="O5" s="278"/>
    </row>
    <row r="6" spans="1:15" s="44" customFormat="1" ht="43.5" x14ac:dyDescent="0.35">
      <c r="B6" s="279"/>
      <c r="C6" s="275" t="s">
        <v>242</v>
      </c>
      <c r="D6" s="275"/>
      <c r="E6" s="280" t="s">
        <v>243</v>
      </c>
      <c r="F6" s="280" t="s">
        <v>263</v>
      </c>
      <c r="G6" s="281" t="s">
        <v>72</v>
      </c>
      <c r="H6" s="282" t="s">
        <v>264</v>
      </c>
      <c r="M6" s="283"/>
      <c r="N6" s="284" t="s">
        <v>265</v>
      </c>
      <c r="O6" s="285" t="s">
        <v>266</v>
      </c>
    </row>
    <row r="7" spans="1:15" s="44" customFormat="1" ht="29" x14ac:dyDescent="0.35">
      <c r="B7" s="286" t="s">
        <v>267</v>
      </c>
      <c r="C7" s="279"/>
      <c r="D7" s="287" t="s">
        <v>268</v>
      </c>
      <c r="E7" s="288" t="s">
        <v>269</v>
      </c>
      <c r="F7" s="288" t="s">
        <v>75</v>
      </c>
      <c r="G7" s="289">
        <v>2000</v>
      </c>
      <c r="H7" s="290">
        <v>30</v>
      </c>
      <c r="M7" s="291"/>
      <c r="N7" s="44" t="s">
        <v>69</v>
      </c>
      <c r="O7" s="292"/>
    </row>
    <row r="8" spans="1:15" s="44" customFormat="1" ht="29" x14ac:dyDescent="0.35">
      <c r="B8" s="286" t="s">
        <v>270</v>
      </c>
      <c r="D8" s="287" t="s">
        <v>271</v>
      </c>
      <c r="E8" s="288" t="s">
        <v>272</v>
      </c>
      <c r="F8" s="288" t="s">
        <v>81</v>
      </c>
      <c r="G8" s="293">
        <v>29.5</v>
      </c>
      <c r="H8" s="289">
        <v>30</v>
      </c>
      <c r="M8" s="291"/>
      <c r="N8" s="44" t="s">
        <v>71</v>
      </c>
      <c r="O8" s="292"/>
    </row>
    <row r="9" spans="1:15" s="44" customFormat="1" ht="29" x14ac:dyDescent="0.35">
      <c r="B9" s="286" t="s">
        <v>257</v>
      </c>
      <c r="C9" s="294"/>
      <c r="D9" s="287" t="s">
        <v>271</v>
      </c>
      <c r="E9" s="288" t="s">
        <v>272</v>
      </c>
      <c r="F9" s="288" t="s">
        <v>82</v>
      </c>
      <c r="G9" s="293">
        <v>29.5</v>
      </c>
      <c r="H9" s="290">
        <v>100</v>
      </c>
      <c r="M9" s="291"/>
      <c r="O9" s="292"/>
    </row>
    <row r="10" spans="1:15" s="44" customFormat="1" ht="30.75" customHeight="1" x14ac:dyDescent="0.35">
      <c r="B10" s="295"/>
      <c r="C10" s="296"/>
      <c r="D10" s="51"/>
      <c r="E10" s="51"/>
      <c r="G10" s="297"/>
      <c r="H10" s="297"/>
      <c r="I10" s="51"/>
      <c r="J10" s="51"/>
      <c r="K10" s="51"/>
      <c r="L10" s="298"/>
      <c r="M10" s="299"/>
      <c r="N10" s="300"/>
      <c r="O10" s="301">
        <f>0.0001</f>
        <v>1E-4</v>
      </c>
    </row>
    <row r="11" spans="1:15" s="44" customFormat="1" x14ac:dyDescent="0.35">
      <c r="D11" s="302"/>
    </row>
    <row r="12" spans="1:15" s="44" customFormat="1" ht="48" customHeight="1" x14ac:dyDescent="0.35">
      <c r="B12" s="303" t="s">
        <v>58</v>
      </c>
      <c r="C12" s="304"/>
      <c r="D12" s="304"/>
      <c r="E12" s="304"/>
      <c r="F12" s="305"/>
      <c r="G12" s="275" t="s">
        <v>261</v>
      </c>
      <c r="H12" s="275"/>
      <c r="M12" s="306" t="s">
        <v>273</v>
      </c>
      <c r="N12" s="306"/>
      <c r="O12" s="306"/>
    </row>
    <row r="13" spans="1:15" s="44" customFormat="1" ht="43.5" x14ac:dyDescent="0.35">
      <c r="B13" s="279"/>
      <c r="C13" s="275" t="s">
        <v>242</v>
      </c>
      <c r="D13" s="275"/>
      <c r="E13" s="280" t="s">
        <v>243</v>
      </c>
      <c r="F13" s="280" t="s">
        <v>263</v>
      </c>
      <c r="G13" s="282" t="s">
        <v>274</v>
      </c>
      <c r="H13" s="282" t="s">
        <v>264</v>
      </c>
      <c r="M13" s="307">
        <f>N15/N14</f>
        <v>0.2522178667216835</v>
      </c>
      <c r="N13" s="307"/>
      <c r="O13" s="308" t="s">
        <v>275</v>
      </c>
    </row>
    <row r="14" spans="1:15" s="44" customFormat="1" x14ac:dyDescent="0.35">
      <c r="B14" s="286" t="s">
        <v>267</v>
      </c>
      <c r="C14" s="279"/>
      <c r="D14" s="309"/>
      <c r="E14" s="309" t="s">
        <v>276</v>
      </c>
      <c r="F14" s="279"/>
      <c r="G14" s="310" t="s">
        <v>86</v>
      </c>
      <c r="H14" s="310" t="s">
        <v>86</v>
      </c>
      <c r="M14" s="311" t="s">
        <v>277</v>
      </c>
      <c r="N14" s="312">
        <v>96.94</v>
      </c>
      <c r="O14" s="308" t="s">
        <v>278</v>
      </c>
    </row>
    <row r="15" spans="1:15" s="44" customFormat="1" ht="29" x14ac:dyDescent="0.35">
      <c r="B15" s="286" t="s">
        <v>270</v>
      </c>
      <c r="C15" s="279"/>
      <c r="D15" s="287" t="s">
        <v>271</v>
      </c>
      <c r="E15" s="288" t="s">
        <v>272</v>
      </c>
      <c r="F15" s="279" t="s">
        <v>76</v>
      </c>
      <c r="G15" s="310">
        <v>21.5</v>
      </c>
      <c r="H15" s="310">
        <v>30</v>
      </c>
      <c r="M15" s="313" t="s">
        <v>279</v>
      </c>
      <c r="N15" s="308">
        <v>24.45</v>
      </c>
      <c r="O15" s="308" t="s">
        <v>280</v>
      </c>
    </row>
    <row r="16" spans="1:15" s="44" customFormat="1" ht="28.5" customHeight="1" x14ac:dyDescent="0.35">
      <c r="B16" s="286" t="s">
        <v>257</v>
      </c>
      <c r="C16" s="279"/>
      <c r="D16" s="287" t="s">
        <v>271</v>
      </c>
      <c r="E16" s="288" t="s">
        <v>272</v>
      </c>
      <c r="F16" s="279" t="s">
        <v>79</v>
      </c>
      <c r="G16" s="310">
        <v>21.5</v>
      </c>
      <c r="H16" s="314">
        <v>100</v>
      </c>
    </row>
    <row r="17" s="44" customFormat="1" ht="30.65" customHeight="1" x14ac:dyDescent="0.35"/>
    <row r="18" s="44" customFormat="1" ht="28.5" customHeight="1" x14ac:dyDescent="0.35"/>
  </sheetData>
  <sheetProtection sheet="1" objects="1" scenarios="1" formatCells="0" formatColumns="0" formatRows="0" sort="0" autoFilter="0"/>
  <autoFilter ref="A1:O18" xr:uid="{DE59850F-DA4A-4D3D-97A6-3832AB231949}">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11">
    <mergeCell ref="M13:N13"/>
    <mergeCell ref="C13:D13"/>
    <mergeCell ref="A1:L1"/>
    <mergeCell ref="M5:O5"/>
    <mergeCell ref="C6:D6"/>
    <mergeCell ref="G4:H4"/>
    <mergeCell ref="B12:F12"/>
    <mergeCell ref="G12:H12"/>
    <mergeCell ref="G5:H5"/>
    <mergeCell ref="B5:F5"/>
    <mergeCell ref="B4:F4"/>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8EF52-814B-4965-936D-BDFF45BDBA8C}">
  <sheetPr codeName="Sheet9"/>
  <dimension ref="A1:V19"/>
  <sheetViews>
    <sheetView zoomScale="120" zoomScaleNormal="120" workbookViewId="0"/>
  </sheetViews>
  <sheetFormatPr defaultRowHeight="14.5" x14ac:dyDescent="0.35"/>
  <cols>
    <col min="1" max="1" width="7.81640625" style="315" customWidth="1"/>
    <col min="2" max="2" width="53.453125" style="2" bestFit="1" customWidth="1"/>
    <col min="3" max="3" width="13.1796875" style="2" customWidth="1"/>
    <col min="4" max="4" width="13.7265625" style="2" customWidth="1"/>
    <col min="5" max="5" width="16.54296875" style="2" customWidth="1"/>
    <col min="6" max="6" width="17.26953125" style="2" customWidth="1"/>
    <col min="7" max="7" width="16.81640625" style="2" hidden="1" customWidth="1"/>
    <col min="8" max="8" width="14.1796875" style="2" customWidth="1"/>
    <col min="9" max="9" width="14.26953125" style="2" customWidth="1"/>
    <col min="10" max="10" width="16.81640625" style="2" customWidth="1"/>
    <col min="11" max="11" width="15.1796875" style="2" customWidth="1"/>
    <col min="12" max="12" width="13.453125" style="2" hidden="1" customWidth="1"/>
    <col min="13" max="13" width="2" style="2" customWidth="1"/>
    <col min="14" max="14" width="8.7265625" style="2"/>
    <col min="15" max="15" width="11.1796875" style="4" customWidth="1"/>
    <col min="16" max="16" width="11.1796875" style="2" customWidth="1"/>
    <col min="17" max="17" width="11.1796875" style="4" customWidth="1"/>
    <col min="18" max="18" width="11.1796875" style="2" customWidth="1"/>
    <col min="19" max="19" width="11.1796875" style="4" customWidth="1"/>
    <col min="20" max="20" width="11.1796875" style="2" customWidth="1"/>
    <col min="21" max="22" width="9.1796875" style="4"/>
    <col min="23" max="16384" width="8.7265625" style="2"/>
  </cols>
  <sheetData>
    <row r="1" spans="1:21" x14ac:dyDescent="0.35">
      <c r="N1" s="32" t="s">
        <v>281</v>
      </c>
      <c r="O1" s="316" t="str">
        <f>'Health Data'!$G$14</f>
        <v>n/a</v>
      </c>
      <c r="P1" s="316" t="str">
        <f>'Health Data'!$G$14</f>
        <v>n/a</v>
      </c>
      <c r="Q1" s="317">
        <f>'Health Data'!$G$15</f>
        <v>21.5</v>
      </c>
      <c r="R1" s="317">
        <f>'Health Data'!$G$15</f>
        <v>21.5</v>
      </c>
      <c r="S1" s="317">
        <f>'Health Data'!$G$16</f>
        <v>21.5</v>
      </c>
      <c r="T1" s="317">
        <f>'Health Data'!$G$16</f>
        <v>21.5</v>
      </c>
    </row>
    <row r="2" spans="1:21" ht="15" thickBot="1" x14ac:dyDescent="0.4">
      <c r="N2" s="32" t="s">
        <v>282</v>
      </c>
      <c r="O2" s="318" t="str">
        <f>'Health Data'!$H$14</f>
        <v>n/a</v>
      </c>
      <c r="P2" s="318" t="str">
        <f>'Health Data'!$H$14</f>
        <v>n/a</v>
      </c>
      <c r="Q2" s="318">
        <f>'Health Data'!$H$15</f>
        <v>30</v>
      </c>
      <c r="R2" s="318">
        <f>'Health Data'!$H$15</f>
        <v>30</v>
      </c>
      <c r="S2" s="318">
        <f>'Health Data'!$H$16</f>
        <v>100</v>
      </c>
      <c r="T2" s="318">
        <f>'Health Data'!$H$16</f>
        <v>100</v>
      </c>
    </row>
    <row r="3" spans="1:21" ht="15.75" customHeight="1" thickBot="1" x14ac:dyDescent="0.4">
      <c r="C3" s="319" t="s">
        <v>283</v>
      </c>
      <c r="D3" s="320"/>
      <c r="E3" s="320"/>
      <c r="F3" s="320"/>
      <c r="G3" s="321"/>
      <c r="H3" s="319" t="s">
        <v>284</v>
      </c>
      <c r="I3" s="320"/>
      <c r="J3" s="320"/>
      <c r="K3" s="320"/>
      <c r="L3" s="321"/>
      <c r="N3" s="32"/>
      <c r="O3" s="322" t="s">
        <v>285</v>
      </c>
      <c r="P3" s="323"/>
      <c r="Q3" s="323"/>
      <c r="R3" s="323"/>
      <c r="S3" s="323"/>
      <c r="T3" s="323"/>
    </row>
    <row r="4" spans="1:21" ht="44" thickBot="1" x14ac:dyDescent="0.4">
      <c r="C4" s="324" t="s">
        <v>429</v>
      </c>
      <c r="D4" s="325" t="s">
        <v>430</v>
      </c>
      <c r="E4" s="325" t="s">
        <v>431</v>
      </c>
      <c r="F4" s="325" t="s">
        <v>432</v>
      </c>
      <c r="G4" s="326" t="s">
        <v>433</v>
      </c>
      <c r="H4" s="324" t="s">
        <v>66</v>
      </c>
      <c r="I4" s="325" t="s">
        <v>430</v>
      </c>
      <c r="J4" s="325" t="s">
        <v>431</v>
      </c>
      <c r="K4" s="325" t="s">
        <v>432</v>
      </c>
      <c r="L4" s="327" t="s">
        <v>67</v>
      </c>
      <c r="N4" s="32"/>
      <c r="O4" s="322" t="s">
        <v>286</v>
      </c>
      <c r="P4" s="323"/>
      <c r="Q4" s="322" t="s">
        <v>287</v>
      </c>
      <c r="R4" s="328"/>
      <c r="S4" s="323" t="s">
        <v>288</v>
      </c>
      <c r="T4" s="328"/>
      <c r="U4" s="329"/>
    </row>
    <row r="5" spans="1:21" ht="33.75" customHeight="1" thickBot="1" x14ac:dyDescent="0.4">
      <c r="A5" s="330" t="s">
        <v>89</v>
      </c>
      <c r="B5" s="331" t="s">
        <v>289</v>
      </c>
      <c r="C5" s="332" t="s">
        <v>435</v>
      </c>
      <c r="D5" s="333" t="s">
        <v>434</v>
      </c>
      <c r="E5" s="333" t="s">
        <v>436</v>
      </c>
      <c r="F5" s="333" t="s">
        <v>437</v>
      </c>
      <c r="G5" s="334" t="s">
        <v>290</v>
      </c>
      <c r="H5" s="332" t="s">
        <v>435</v>
      </c>
      <c r="I5" s="333" t="s">
        <v>434</v>
      </c>
      <c r="J5" s="333" t="s">
        <v>436</v>
      </c>
      <c r="K5" s="333" t="s">
        <v>437</v>
      </c>
      <c r="L5" s="335" t="s">
        <v>290</v>
      </c>
      <c r="N5" s="32"/>
      <c r="O5" s="336" t="s">
        <v>71</v>
      </c>
      <c r="P5" s="337" t="s">
        <v>69</v>
      </c>
      <c r="Q5" s="336" t="s">
        <v>71</v>
      </c>
      <c r="R5" s="338" t="s">
        <v>69</v>
      </c>
      <c r="S5" s="339" t="s">
        <v>71</v>
      </c>
      <c r="T5" s="338" t="s">
        <v>69</v>
      </c>
    </row>
    <row r="6" spans="1:21" ht="15.75" customHeight="1" x14ac:dyDescent="0.35">
      <c r="A6" s="340">
        <v>1</v>
      </c>
      <c r="B6" s="341" t="s">
        <v>291</v>
      </c>
      <c r="C6" s="342">
        <v>7.3694386639452389</v>
      </c>
      <c r="D6" s="173">
        <v>9.211798329931549E-2</v>
      </c>
      <c r="E6" s="173">
        <v>6.7553187752831353E-2</v>
      </c>
      <c r="F6" s="173">
        <v>6.3094509109120192E-2</v>
      </c>
      <c r="G6" s="173">
        <v>2.3230464456071808E-2</v>
      </c>
      <c r="H6" s="173">
        <v>20.634000633971503</v>
      </c>
      <c r="I6" s="173">
        <v>0.25792500792464379</v>
      </c>
      <c r="J6" s="173">
        <v>0.18914500581140545</v>
      </c>
      <c r="K6" s="173">
        <v>0.17666096433194781</v>
      </c>
      <c r="L6" s="174">
        <v>7.1615763918002631E-2</v>
      </c>
      <c r="N6" s="35"/>
      <c r="O6" s="342" t="s">
        <v>86</v>
      </c>
      <c r="P6" s="343" t="s">
        <v>86</v>
      </c>
      <c r="Q6" s="342">
        <f>Q$1/E6</f>
        <v>318.26773413959091</v>
      </c>
      <c r="R6" s="174">
        <f t="shared" ref="R6:R19" si="0">R$1/J6</f>
        <v>113.66940357620349</v>
      </c>
      <c r="S6" s="344">
        <f>S$1/F6</f>
        <v>340.75865401878872</v>
      </c>
      <c r="T6" s="174">
        <f t="shared" ref="T6:T19" si="1">T$1/K6</f>
        <v>121.70204142892186</v>
      </c>
    </row>
    <row r="7" spans="1:21" x14ac:dyDescent="0.35">
      <c r="A7" s="345">
        <v>2</v>
      </c>
      <c r="B7" s="346" t="s">
        <v>292</v>
      </c>
      <c r="C7" s="342">
        <v>9.7026133834800271E-2</v>
      </c>
      <c r="D7" s="173">
        <v>1.2128266729350035E-3</v>
      </c>
      <c r="E7" s="173">
        <v>8.8940622681900263E-4</v>
      </c>
      <c r="F7" s="173">
        <v>8.3070320064041337E-4</v>
      </c>
      <c r="G7" s="173">
        <v>3.0596170006871333E-4</v>
      </c>
      <c r="H7" s="173">
        <v>0.27121133333453668</v>
      </c>
      <c r="I7" s="173">
        <v>3.3901416666817083E-3</v>
      </c>
      <c r="J7" s="173">
        <v>2.4861038888999197E-3</v>
      </c>
      <c r="K7" s="173">
        <v>2.3220148401929511E-3</v>
      </c>
      <c r="L7" s="174">
        <v>9.4332457472160076E-4</v>
      </c>
      <c r="O7" s="342" t="s">
        <v>86</v>
      </c>
      <c r="P7" s="343" t="s">
        <v>86</v>
      </c>
      <c r="Q7" s="342">
        <f t="shared" ref="Q7:Q19" si="2">Q$1/E7</f>
        <v>24173.430938184028</v>
      </c>
      <c r="R7" s="174">
        <f t="shared" si="0"/>
        <v>8648.0698155834398</v>
      </c>
      <c r="S7" s="344">
        <f t="shared" ref="S7:S19" si="3">S$1/F7</f>
        <v>25881.68672448237</v>
      </c>
      <c r="T7" s="174">
        <f t="shared" si="1"/>
        <v>9259.2000825513369</v>
      </c>
    </row>
    <row r="8" spans="1:21" x14ac:dyDescent="0.35">
      <c r="A8" s="345">
        <v>3</v>
      </c>
      <c r="B8" s="347" t="s">
        <v>293</v>
      </c>
      <c r="C8" s="342">
        <v>7.7620907067840212</v>
      </c>
      <c r="D8" s="173">
        <v>9.7026133834800271E-2</v>
      </c>
      <c r="E8" s="173">
        <v>7.1152498145520202E-2</v>
      </c>
      <c r="F8" s="173">
        <v>5.3564971765917346E-2</v>
      </c>
      <c r="G8" s="173">
        <v>1.9748757421523586E-2</v>
      </c>
      <c r="H8" s="173">
        <v>21.696906666762931</v>
      </c>
      <c r="I8" s="173">
        <v>0.27121133333453662</v>
      </c>
      <c r="J8" s="173">
        <v>0.19888831111199354</v>
      </c>
      <c r="K8" s="173">
        <v>0.15617824509919795</v>
      </c>
      <c r="L8" s="174">
        <v>6.3386168617795391E-2</v>
      </c>
      <c r="O8" s="342" t="s">
        <v>86</v>
      </c>
      <c r="P8" s="343" t="s">
        <v>86</v>
      </c>
      <c r="Q8" s="342">
        <f t="shared" si="2"/>
        <v>302.16788672730041</v>
      </c>
      <c r="R8" s="174">
        <f t="shared" si="0"/>
        <v>108.10087269479301</v>
      </c>
      <c r="S8" s="344">
        <f t="shared" si="3"/>
        <v>401.38171068131044</v>
      </c>
      <c r="T8" s="174">
        <f t="shared" si="1"/>
        <v>137.66321926811312</v>
      </c>
    </row>
    <row r="9" spans="1:21" x14ac:dyDescent="0.35">
      <c r="A9" s="345">
        <v>4</v>
      </c>
      <c r="B9" s="347" t="s">
        <v>294</v>
      </c>
      <c r="C9" s="342">
        <v>7.7620907067840212</v>
      </c>
      <c r="D9" s="173">
        <v>9.7026133834800271E-2</v>
      </c>
      <c r="E9" s="173">
        <v>7.1152498145520202E-2</v>
      </c>
      <c r="F9" s="173">
        <v>6.6456256051233065E-2</v>
      </c>
      <c r="G9" s="173">
        <v>2.4476936005497066E-2</v>
      </c>
      <c r="H9" s="173">
        <v>21.696906666762931</v>
      </c>
      <c r="I9" s="173">
        <v>0.27121133333453662</v>
      </c>
      <c r="J9" s="173">
        <v>0.19888831111199354</v>
      </c>
      <c r="K9" s="173">
        <v>0.18576118721543602</v>
      </c>
      <c r="L9" s="174">
        <v>7.5465965977728075E-2</v>
      </c>
      <c r="O9" s="342" t="s">
        <v>86</v>
      </c>
      <c r="P9" s="343" t="s">
        <v>86</v>
      </c>
      <c r="Q9" s="342">
        <f t="shared" si="2"/>
        <v>302.16788672730041</v>
      </c>
      <c r="R9" s="174">
        <f t="shared" si="0"/>
        <v>108.10087269479301</v>
      </c>
      <c r="S9" s="344">
        <f t="shared" si="3"/>
        <v>323.52108405602962</v>
      </c>
      <c r="T9" s="174">
        <f t="shared" si="1"/>
        <v>115.74000103189174</v>
      </c>
    </row>
    <row r="10" spans="1:21" x14ac:dyDescent="0.35">
      <c r="A10" s="345">
        <v>5</v>
      </c>
      <c r="B10" s="348" t="s">
        <v>295</v>
      </c>
      <c r="C10" s="342">
        <v>3.0709800147887698</v>
      </c>
      <c r="D10" s="173">
        <v>3.8387250184859625E-2</v>
      </c>
      <c r="E10" s="173">
        <v>2.8150650135563726E-2</v>
      </c>
      <c r="F10" s="173">
        <v>2.6292637112917551E-2</v>
      </c>
      <c r="G10" s="173">
        <v>9.7600347248772441E-3</v>
      </c>
      <c r="H10" s="173">
        <v>13.877165674174679</v>
      </c>
      <c r="I10" s="173">
        <v>0.17346457092718348</v>
      </c>
      <c r="J10" s="173">
        <v>0.12720735201326788</v>
      </c>
      <c r="K10" s="173">
        <v>0.11881134995012566</v>
      </c>
      <c r="L10" s="174">
        <v>4.7165838525076796E-2</v>
      </c>
      <c r="O10" s="342" t="s">
        <v>86</v>
      </c>
      <c r="P10" s="343" t="s">
        <v>86</v>
      </c>
      <c r="Q10" s="342">
        <f t="shared" si="2"/>
        <v>763.74790267590583</v>
      </c>
      <c r="R10" s="174">
        <f t="shared" si="0"/>
        <v>169.0153883382269</v>
      </c>
      <c r="S10" s="344">
        <f t="shared" si="3"/>
        <v>817.71942113166983</v>
      </c>
      <c r="T10" s="174">
        <f t="shared" si="1"/>
        <v>180.9591424474616</v>
      </c>
    </row>
    <row r="11" spans="1:21" x14ac:dyDescent="0.35">
      <c r="A11" s="345">
        <v>6</v>
      </c>
      <c r="B11" s="349" t="s">
        <v>299</v>
      </c>
      <c r="C11" s="342">
        <v>4.6566898584012897</v>
      </c>
      <c r="D11" s="173">
        <v>5.8208623230016118E-2</v>
      </c>
      <c r="E11" s="173">
        <v>4.2686323702011822E-2</v>
      </c>
      <c r="F11" s="173">
        <v>3.9868920020558987E-2</v>
      </c>
      <c r="G11" s="173">
        <v>1.4761050044164678E-2</v>
      </c>
      <c r="H11" s="173">
        <v>16.139429892784253</v>
      </c>
      <c r="I11" s="173">
        <v>0.20174287365980317</v>
      </c>
      <c r="J11" s="173">
        <v>0.14794477401718897</v>
      </c>
      <c r="K11" s="173">
        <v>0.13818005045191997</v>
      </c>
      <c r="L11" s="174">
        <v>5.5795863882370643E-2</v>
      </c>
      <c r="O11" s="342" t="s">
        <v>86</v>
      </c>
      <c r="P11" s="343" t="s">
        <v>86</v>
      </c>
      <c r="Q11" s="342">
        <f t="shared" si="2"/>
        <v>503.67420136924784</v>
      </c>
      <c r="R11" s="174">
        <f t="shared" si="0"/>
        <v>145.32449789339651</v>
      </c>
      <c r="S11" s="344">
        <f t="shared" si="3"/>
        <v>539.26717826600805</v>
      </c>
      <c r="T11" s="174">
        <f t="shared" si="1"/>
        <v>155.59409574452985</v>
      </c>
    </row>
    <row r="12" spans="1:21" x14ac:dyDescent="0.35">
      <c r="A12" s="345">
        <v>7</v>
      </c>
      <c r="B12" s="349" t="s">
        <v>300</v>
      </c>
      <c r="C12" s="342">
        <v>2.6699872264726889</v>
      </c>
      <c r="D12" s="173">
        <v>3.3374840330908609E-2</v>
      </c>
      <c r="E12" s="173">
        <v>2.447488290933298E-2</v>
      </c>
      <c r="F12" s="173">
        <v>2.2859479678704529E-2</v>
      </c>
      <c r="G12" s="173">
        <v>8.4393348704731672E-3</v>
      </c>
      <c r="H12" s="173">
        <v>11.689135887796535</v>
      </c>
      <c r="I12" s="173">
        <v>0.1461141985974567</v>
      </c>
      <c r="J12" s="173">
        <v>0.10715041230480157</v>
      </c>
      <c r="K12" s="173">
        <v>0.10007821821743609</v>
      </c>
      <c r="L12" s="174">
        <v>3.9949878978434827E-2</v>
      </c>
      <c r="O12" s="342" t="s">
        <v>86</v>
      </c>
      <c r="P12" s="343" t="s">
        <v>86</v>
      </c>
      <c r="Q12" s="342">
        <f t="shared" si="2"/>
        <v>878.45159789513957</v>
      </c>
      <c r="R12" s="174">
        <f t="shared" si="0"/>
        <v>200.65251768552039</v>
      </c>
      <c r="S12" s="344">
        <f t="shared" si="3"/>
        <v>940.52884414639607</v>
      </c>
      <c r="T12" s="174">
        <f t="shared" si="1"/>
        <v>214.83196226863049</v>
      </c>
    </row>
    <row r="13" spans="1:21" x14ac:dyDescent="0.35">
      <c r="A13" s="345">
        <v>8</v>
      </c>
      <c r="B13" s="348" t="s">
        <v>298</v>
      </c>
      <c r="C13" s="342">
        <v>2.7244656434852517</v>
      </c>
      <c r="D13" s="173">
        <v>3.4055820543565644E-2</v>
      </c>
      <c r="E13" s="173">
        <v>2.4974268398614809E-2</v>
      </c>
      <c r="F13" s="173">
        <v>2.3325904481894276E-2</v>
      </c>
      <c r="G13" s="173">
        <v>8.61262408443428E-3</v>
      </c>
      <c r="H13" s="173">
        <v>11.824236916308696</v>
      </c>
      <c r="I13" s="173">
        <v>0.14780296145385868</v>
      </c>
      <c r="J13" s="173">
        <v>0.10838883839949637</v>
      </c>
      <c r="K13" s="173">
        <v>0.10123490510538265</v>
      </c>
      <c r="L13" s="174">
        <v>4.0555663378161119E-2</v>
      </c>
      <c r="O13" s="342" t="s">
        <v>86</v>
      </c>
      <c r="P13" s="343" t="s">
        <v>86</v>
      </c>
      <c r="Q13" s="342">
        <f>Q$1/E13</f>
        <v>860.88607909701534</v>
      </c>
      <c r="R13" s="174">
        <f>R$1/J13</f>
        <v>198.35990787866862</v>
      </c>
      <c r="S13" s="344">
        <f>S$1/F13</f>
        <v>921.7220286865379</v>
      </c>
      <c r="T13" s="174">
        <f>T$1/K13</f>
        <v>212.37734136876122</v>
      </c>
    </row>
    <row r="14" spans="1:21" x14ac:dyDescent="0.35">
      <c r="A14" s="345">
        <v>9</v>
      </c>
      <c r="B14" s="347" t="s">
        <v>297</v>
      </c>
      <c r="C14" s="342">
        <v>3.2585959436151888</v>
      </c>
      <c r="D14" s="173">
        <v>4.0732449295189863E-2</v>
      </c>
      <c r="E14" s="173">
        <v>2.9870462816472564E-2</v>
      </c>
      <c r="F14" s="173">
        <v>2.7898937873417715E-2</v>
      </c>
      <c r="G14" s="173">
        <v>1.0328104639268887E-2</v>
      </c>
      <c r="H14" s="173">
        <v>11.408760622690284</v>
      </c>
      <c r="I14" s="173">
        <v>0.14260950778362855</v>
      </c>
      <c r="J14" s="173">
        <v>0.10458030570799427</v>
      </c>
      <c r="K14" s="173">
        <v>9.767774505727983E-2</v>
      </c>
      <c r="L14" s="174">
        <v>3.9202496149295267E-2</v>
      </c>
      <c r="O14" s="342" t="s">
        <v>86</v>
      </c>
      <c r="P14" s="343" t="s">
        <v>86</v>
      </c>
      <c r="Q14" s="342">
        <f>Q$1/E14</f>
        <v>719.77458575377239</v>
      </c>
      <c r="R14" s="174">
        <f>R$1/J14</f>
        <v>205.58364076723586</v>
      </c>
      <c r="S14" s="344">
        <f>S$1/F14</f>
        <v>770.63865648037222</v>
      </c>
      <c r="T14" s="174">
        <f>T$1/K14</f>
        <v>220.11155138145386</v>
      </c>
    </row>
    <row r="15" spans="1:21" x14ac:dyDescent="0.35">
      <c r="A15" s="345">
        <v>10</v>
      </c>
      <c r="B15" s="348" t="s">
        <v>296</v>
      </c>
      <c r="C15" s="342">
        <v>0.59773253407423266</v>
      </c>
      <c r="D15" s="173">
        <v>7.4716566759279084E-3</v>
      </c>
      <c r="E15" s="173">
        <v>5.479214895680466E-3</v>
      </c>
      <c r="F15" s="173">
        <v>5.1175730657040466E-3</v>
      </c>
      <c r="G15" s="173">
        <v>1.9226111078531963E-3</v>
      </c>
      <c r="H15" s="173">
        <v>8.7775200437435075</v>
      </c>
      <c r="I15" s="173">
        <v>0.10971900054679384</v>
      </c>
      <c r="J15" s="173">
        <v>8.0460600400982157E-2</v>
      </c>
      <c r="K15" s="173">
        <v>7.5150000374516329E-2</v>
      </c>
      <c r="L15" s="174">
        <v>2.9445281044641589E-2</v>
      </c>
      <c r="O15" s="342" t="s">
        <v>86</v>
      </c>
      <c r="P15" s="343" t="s">
        <v>86</v>
      </c>
      <c r="Q15" s="342">
        <f>Q$1/E15</f>
        <v>3923.919833286609</v>
      </c>
      <c r="R15" s="174">
        <f>R$1/J15</f>
        <v>267.21152828655198</v>
      </c>
      <c r="S15" s="344">
        <f>S$1/F15</f>
        <v>4201.2101681721961</v>
      </c>
      <c r="T15" s="174">
        <f>T$1/K15</f>
        <v>286.09447628546837</v>
      </c>
    </row>
    <row r="16" spans="1:21" x14ac:dyDescent="0.35">
      <c r="A16" s="345">
        <v>11</v>
      </c>
      <c r="B16" s="348" t="s">
        <v>175</v>
      </c>
      <c r="C16" s="342">
        <v>0.20579623323063498</v>
      </c>
      <c r="D16" s="173">
        <v>2.5724529153829372E-3</v>
      </c>
      <c r="E16" s="173">
        <v>1.8864654712808205E-3</v>
      </c>
      <c r="F16" s="173">
        <v>1.7619540516321487E-3</v>
      </c>
      <c r="G16" s="173">
        <v>6.5267961006716842E-4</v>
      </c>
      <c r="H16" s="173">
        <v>0.6768703060797826</v>
      </c>
      <c r="I16" s="173">
        <v>8.4608788259972825E-3</v>
      </c>
      <c r="J16" s="173">
        <v>6.2046444723980075E-3</v>
      </c>
      <c r="K16" s="173">
        <v>5.7951224835597823E-3</v>
      </c>
      <c r="L16" s="174">
        <v>2.3359250472387975E-3</v>
      </c>
      <c r="O16" s="342" t="s">
        <v>86</v>
      </c>
      <c r="P16" s="343" t="s">
        <v>86</v>
      </c>
      <c r="Q16" s="342">
        <f>Q$1/E16</f>
        <v>11396.975098305149</v>
      </c>
      <c r="R16" s="174">
        <f>R$1/J16</f>
        <v>3465.1461652065541</v>
      </c>
      <c r="S16" s="344">
        <f>S$1/F16</f>
        <v>12202.361338585381</v>
      </c>
      <c r="T16" s="174">
        <f>T$1/K16</f>
        <v>3710.0164942144843</v>
      </c>
    </row>
    <row r="17" spans="1:20" x14ac:dyDescent="0.35">
      <c r="A17" s="345">
        <v>12</v>
      </c>
      <c r="B17" s="349" t="s">
        <v>301</v>
      </c>
      <c r="C17" s="342">
        <v>1.9389333360515626</v>
      </c>
      <c r="D17" s="173">
        <v>2.4236666700644532E-2</v>
      </c>
      <c r="E17" s="173">
        <v>1.7773555580472659E-2</v>
      </c>
      <c r="F17" s="173">
        <v>1.3393255007610896E-2</v>
      </c>
      <c r="G17" s="173">
        <v>5.0208348265947588E-3</v>
      </c>
      <c r="H17" s="173">
        <v>10.920903611127555</v>
      </c>
      <c r="I17" s="173">
        <v>0.13651129513909444</v>
      </c>
      <c r="J17" s="173">
        <v>0.10010828310200258</v>
      </c>
      <c r="K17" s="173">
        <v>7.6707405144144356E-2</v>
      </c>
      <c r="L17" s="174">
        <v>2.9700976900422161E-2</v>
      </c>
      <c r="O17" s="342" t="s">
        <v>86</v>
      </c>
      <c r="P17" s="343" t="s">
        <v>86</v>
      </c>
      <c r="Q17" s="342">
        <f t="shared" si="2"/>
        <v>1209.6622930991639</v>
      </c>
      <c r="R17" s="174">
        <f t="shared" si="0"/>
        <v>214.76744315046506</v>
      </c>
      <c r="S17" s="344">
        <f t="shared" si="3"/>
        <v>1605.2856447355282</v>
      </c>
      <c r="T17" s="174">
        <f t="shared" si="1"/>
        <v>280.2858467132134</v>
      </c>
    </row>
    <row r="18" spans="1:20" x14ac:dyDescent="0.35">
      <c r="A18" s="345">
        <v>13</v>
      </c>
      <c r="B18" s="349" t="s">
        <v>213</v>
      </c>
      <c r="C18" s="342">
        <v>2.6699872264726889</v>
      </c>
      <c r="D18" s="173">
        <v>3.3374840330908609E-2</v>
      </c>
      <c r="E18" s="173">
        <v>2.447488290933298E-2</v>
      </c>
      <c r="F18" s="173">
        <v>2.2859479678704529E-2</v>
      </c>
      <c r="G18" s="173">
        <v>8.4393348704731672E-3</v>
      </c>
      <c r="H18" s="173">
        <v>11.689135887796535</v>
      </c>
      <c r="I18" s="173">
        <v>0.1461141985974567</v>
      </c>
      <c r="J18" s="173">
        <v>0.10715041230480157</v>
      </c>
      <c r="K18" s="173">
        <v>0.10007821821743609</v>
      </c>
      <c r="L18" s="174">
        <v>4.3831173260208051E-2</v>
      </c>
      <c r="O18" s="342" t="s">
        <v>86</v>
      </c>
      <c r="P18" s="343" t="s">
        <v>86</v>
      </c>
      <c r="Q18" s="342">
        <f>Q$1/E18</f>
        <v>878.45159789513957</v>
      </c>
      <c r="R18" s="174">
        <f>R$1/J18</f>
        <v>200.65251768552039</v>
      </c>
      <c r="S18" s="344">
        <f>S$1/F18</f>
        <v>940.52884414639607</v>
      </c>
      <c r="T18" s="174">
        <f>T$1/K18</f>
        <v>214.83196226863049</v>
      </c>
    </row>
    <row r="19" spans="1:20" ht="15" thickBot="1" x14ac:dyDescent="0.4">
      <c r="A19" s="350">
        <v>15</v>
      </c>
      <c r="B19" s="351" t="s">
        <v>302</v>
      </c>
      <c r="C19" s="352">
        <v>3.0678789559241944</v>
      </c>
      <c r="D19" s="185">
        <v>3.8348486949052428E-2</v>
      </c>
      <c r="E19" s="185">
        <v>2.8122223762638447E-2</v>
      </c>
      <c r="F19" s="185">
        <v>2.6266086951405771E-2</v>
      </c>
      <c r="G19" s="185">
        <v>9.7509952306087961E-3</v>
      </c>
      <c r="H19" s="185">
        <v>13.868467561055432</v>
      </c>
      <c r="I19" s="185">
        <v>0.17335584451319291</v>
      </c>
      <c r="J19" s="185">
        <v>0.12712761930967481</v>
      </c>
      <c r="K19" s="185">
        <v>0.11873687980355679</v>
      </c>
      <c r="L19" s="186">
        <v>4.7212499690719723E-2</v>
      </c>
      <c r="O19" s="352" t="s">
        <v>86</v>
      </c>
      <c r="P19" s="353" t="s">
        <v>86</v>
      </c>
      <c r="Q19" s="352">
        <f t="shared" si="2"/>
        <v>764.51991071074724</v>
      </c>
      <c r="R19" s="186">
        <f t="shared" si="0"/>
        <v>169.12139247748647</v>
      </c>
      <c r="S19" s="354">
        <f t="shared" si="3"/>
        <v>818.54598440097345</v>
      </c>
      <c r="T19" s="186">
        <f t="shared" si="1"/>
        <v>181.0726375458955</v>
      </c>
    </row>
  </sheetData>
  <sheetProtection sheet="1" objects="1" scenarios="1" formatCells="0" formatColumns="0" formatRows="0" sort="0" autoFilter="0"/>
  <autoFilter ref="A1:V19" xr:uid="{E908EF52-814B-4965-936D-BDFF45BDBA8C}"/>
  <mergeCells count="6">
    <mergeCell ref="C3:G3"/>
    <mergeCell ref="O3:T3"/>
    <mergeCell ref="O4:P4"/>
    <mergeCell ref="Q4:R4"/>
    <mergeCell ref="S4:T4"/>
    <mergeCell ref="H3:L3"/>
  </mergeCells>
  <conditionalFormatting sqref="C6:L19">
    <cfRule type="cellIs" dxfId="70" priority="1" operator="greaterThanOrEqual">
      <formula>10000</formula>
    </cfRule>
    <cfRule type="cellIs" dxfId="69" priority="2" operator="greaterThanOrEqual">
      <formula>10</formula>
    </cfRule>
    <cfRule type="cellIs" dxfId="68" priority="3" operator="between">
      <formula>1</formula>
      <formula>9.999</formula>
    </cfRule>
    <cfRule type="cellIs" dxfId="67" priority="4" operator="between">
      <formula>0.1</formula>
      <formula>0.999</formula>
    </cfRule>
    <cfRule type="cellIs" dxfId="66" priority="5" operator="lessThanOrEqual">
      <formula>0.1</formula>
    </cfRule>
    <cfRule type="containsBlanks" dxfId="65" priority="6" stopIfTrue="1">
      <formula>LEN(TRIM(C6))=0</formula>
    </cfRule>
    <cfRule type="cellIs" dxfId="64" priority="7" operator="equal">
      <formula>0</formula>
    </cfRule>
  </conditionalFormatting>
  <conditionalFormatting sqref="O6:T19">
    <cfRule type="expression" dxfId="63" priority="219">
      <formula>O6&lt;O$2</formula>
    </cfRule>
    <cfRule type="cellIs" dxfId="62" priority="220" operator="greaterThanOrEqual">
      <formula>10000</formula>
    </cfRule>
    <cfRule type="cellIs" dxfId="61" priority="221" operator="greaterThanOrEqual">
      <formula>10</formula>
    </cfRule>
    <cfRule type="cellIs" dxfId="60" priority="222" operator="between">
      <formula>1</formula>
      <formula>9.999</formula>
    </cfRule>
    <cfRule type="cellIs" dxfId="59" priority="223" operator="between">
      <formula>0.1</formula>
      <formula>0.999</formula>
    </cfRule>
    <cfRule type="cellIs" dxfId="58" priority="224" operator="lessThanOrEqual">
      <formula>0.1</formula>
    </cfRule>
    <cfRule type="containsBlanks" dxfId="57" priority="225" stopIfTrue="1">
      <formula>LEN(TRIM(O6))=0</formula>
    </cfRule>
    <cfRule type="cellIs" dxfId="56" priority="226" operator="equal">
      <formula>0</formula>
    </cfRule>
  </conditionalFormatting>
  <dataValidations count="1">
    <dataValidation allowBlank="1" showErrorMessage="1" sqref="C3:C5 H3:H10 H11:H19" xr:uid="{6AF3334F-E071-4101-99EC-7B2CE3F4732F}"/>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DFA29-5DDB-4018-BDB5-BC28E8281DEA}">
  <sheetPr codeName="Sheet11"/>
  <dimension ref="B1:AE119"/>
  <sheetViews>
    <sheetView zoomScaleNormal="100" workbookViewId="0">
      <pane xSplit="3" ySplit="5" topLeftCell="D6" activePane="bottomRight" state="frozen"/>
      <selection pane="topRight" activeCell="D1" sqref="D1"/>
      <selection pane="bottomLeft" activeCell="A6" sqref="A6"/>
      <selection pane="bottomRight"/>
    </sheetView>
  </sheetViews>
  <sheetFormatPr defaultColWidth="9.1796875" defaultRowHeight="13" x14ac:dyDescent="0.3"/>
  <cols>
    <col min="1" max="1" width="2.54296875" style="32" customWidth="1"/>
    <col min="2" max="2" width="7.7265625" style="32" customWidth="1"/>
    <col min="3" max="3" width="90" style="355" bestFit="1" customWidth="1"/>
    <col min="4" max="4" width="12.81640625" style="32" customWidth="1"/>
    <col min="5" max="7" width="13.54296875" style="32" customWidth="1"/>
    <col min="8" max="9" width="13.26953125" style="32" customWidth="1"/>
    <col min="10" max="12" width="14.1796875" style="32" customWidth="1"/>
    <col min="13" max="13" width="15.54296875" style="32" customWidth="1"/>
    <col min="14" max="17" width="13.26953125" style="32" customWidth="1"/>
    <col min="18" max="18" width="9.7265625" style="355" customWidth="1"/>
    <col min="19" max="19" width="9" style="355" customWidth="1"/>
    <col min="20" max="20" width="78.1796875" style="32" customWidth="1"/>
    <col min="21" max="21" width="42.54296875" style="32" customWidth="1"/>
    <col min="22" max="22" width="3.54296875" style="32" customWidth="1"/>
    <col min="23" max="23" width="9" style="32" customWidth="1"/>
    <col min="24" max="29" width="18.26953125" style="32" customWidth="1"/>
    <col min="30" max="31" width="9.1796875" style="355"/>
    <col min="32" max="35" width="9.1796875" style="32"/>
    <col min="36" max="36" width="72.7265625" style="32" bestFit="1" customWidth="1"/>
    <col min="37" max="37" width="14.26953125" style="32" bestFit="1" customWidth="1"/>
    <col min="38" max="16384" width="9.1796875" style="32"/>
  </cols>
  <sheetData>
    <row r="1" spans="2:31" x14ac:dyDescent="0.3">
      <c r="W1" s="32" t="s">
        <v>72</v>
      </c>
      <c r="X1" s="316">
        <f>'Health Data'!$G$7</f>
        <v>2000</v>
      </c>
      <c r="Y1" s="316">
        <f>'Health Data'!$G$7</f>
        <v>2000</v>
      </c>
      <c r="Z1" s="317">
        <f>'Health Data'!$G$8</f>
        <v>29.5</v>
      </c>
      <c r="AA1" s="317">
        <f>'Health Data'!$G$8</f>
        <v>29.5</v>
      </c>
      <c r="AB1" s="317">
        <f>'Health Data'!$G$9</f>
        <v>29.5</v>
      </c>
      <c r="AC1" s="317">
        <f>'Health Data'!$G$9</f>
        <v>29.5</v>
      </c>
    </row>
    <row r="2" spans="2:31" ht="13.5" thickBot="1" x14ac:dyDescent="0.35">
      <c r="W2" s="32" t="s">
        <v>282</v>
      </c>
      <c r="X2" s="318">
        <f>'Health Data'!$H$7</f>
        <v>30</v>
      </c>
      <c r="Y2" s="318">
        <f>'Health Data'!$H$7</f>
        <v>30</v>
      </c>
      <c r="Z2" s="318">
        <f>'Health Data'!$H$8</f>
        <v>30</v>
      </c>
      <c r="AA2" s="318">
        <f>'Health Data'!$H$8</f>
        <v>30</v>
      </c>
      <c r="AB2" s="318">
        <f>'Health Data'!$H$9</f>
        <v>100</v>
      </c>
      <c r="AC2" s="318">
        <f>'Health Data'!$H$9</f>
        <v>100</v>
      </c>
    </row>
    <row r="3" spans="2:31" ht="30.75" customHeight="1" thickBot="1" x14ac:dyDescent="0.35">
      <c r="B3" s="356" t="s">
        <v>89</v>
      </c>
      <c r="C3" s="357" t="s">
        <v>57</v>
      </c>
      <c r="D3" s="357" t="s">
        <v>63</v>
      </c>
      <c r="E3" s="357" t="s">
        <v>304</v>
      </c>
      <c r="F3" s="357" t="s">
        <v>305</v>
      </c>
      <c r="G3" s="357"/>
      <c r="H3" s="358" t="s">
        <v>306</v>
      </c>
      <c r="I3" s="358"/>
      <c r="J3" s="358" t="s">
        <v>65</v>
      </c>
      <c r="K3" s="358"/>
      <c r="L3" s="358" t="s">
        <v>77</v>
      </c>
      <c r="M3" s="358"/>
      <c r="N3" s="358" t="s">
        <v>78</v>
      </c>
      <c r="O3" s="358"/>
      <c r="P3" s="358" t="s">
        <v>233</v>
      </c>
      <c r="Q3" s="358"/>
      <c r="R3" s="357" t="s">
        <v>307</v>
      </c>
      <c r="S3" s="357" t="s">
        <v>308</v>
      </c>
      <c r="T3" s="359" t="s">
        <v>309</v>
      </c>
      <c r="U3" s="360" t="s">
        <v>310</v>
      </c>
      <c r="V3" s="361"/>
      <c r="X3" s="362" t="s">
        <v>285</v>
      </c>
      <c r="Y3" s="363"/>
      <c r="Z3" s="363"/>
      <c r="AA3" s="363"/>
      <c r="AB3" s="363"/>
      <c r="AC3" s="364"/>
    </row>
    <row r="4" spans="2:31" ht="13.5" customHeight="1" thickBot="1" x14ac:dyDescent="0.35">
      <c r="B4" s="365"/>
      <c r="C4" s="366"/>
      <c r="D4" s="366"/>
      <c r="E4" s="366"/>
      <c r="F4" s="366" t="s">
        <v>311</v>
      </c>
      <c r="G4" s="366"/>
      <c r="H4" s="367" t="s">
        <v>312</v>
      </c>
      <c r="I4" s="367"/>
      <c r="J4" s="367" t="s">
        <v>313</v>
      </c>
      <c r="K4" s="367"/>
      <c r="L4" s="367" t="s">
        <v>314</v>
      </c>
      <c r="M4" s="367"/>
      <c r="N4" s="367" t="s">
        <v>314</v>
      </c>
      <c r="O4" s="367"/>
      <c r="P4" s="367" t="s">
        <v>315</v>
      </c>
      <c r="Q4" s="367"/>
      <c r="R4" s="366"/>
      <c r="S4" s="366"/>
      <c r="T4" s="368"/>
      <c r="U4" s="369"/>
      <c r="V4" s="361"/>
      <c r="X4" s="370" t="s">
        <v>316</v>
      </c>
      <c r="Y4" s="371"/>
      <c r="Z4" s="370" t="s">
        <v>317</v>
      </c>
      <c r="AA4" s="372"/>
      <c r="AB4" s="373" t="s">
        <v>318</v>
      </c>
      <c r="AC4" s="372"/>
    </row>
    <row r="5" spans="2:31" ht="26" x14ac:dyDescent="0.3">
      <c r="B5" s="374"/>
      <c r="C5" s="375"/>
      <c r="D5" s="375"/>
      <c r="E5" s="375"/>
      <c r="F5" s="376" t="s">
        <v>71</v>
      </c>
      <c r="G5" s="376" t="s">
        <v>69</v>
      </c>
      <c r="H5" s="376" t="s">
        <v>71</v>
      </c>
      <c r="I5" s="376" t="s">
        <v>69</v>
      </c>
      <c r="J5" s="376" t="s">
        <v>71</v>
      </c>
      <c r="K5" s="376" t="s">
        <v>69</v>
      </c>
      <c r="L5" s="376" t="s">
        <v>71</v>
      </c>
      <c r="M5" s="376" t="s">
        <v>69</v>
      </c>
      <c r="N5" s="376" t="s">
        <v>71</v>
      </c>
      <c r="O5" s="376" t="s">
        <v>69</v>
      </c>
      <c r="P5" s="376" t="s">
        <v>71</v>
      </c>
      <c r="Q5" s="376" t="s">
        <v>69</v>
      </c>
      <c r="R5" s="375"/>
      <c r="S5" s="375"/>
      <c r="T5" s="377"/>
      <c r="U5" s="369"/>
      <c r="V5" s="361"/>
      <c r="X5" s="378" t="s">
        <v>71</v>
      </c>
      <c r="Y5" s="379" t="s">
        <v>69</v>
      </c>
      <c r="Z5" s="378" t="s">
        <v>71</v>
      </c>
      <c r="AA5" s="380" t="s">
        <v>69</v>
      </c>
      <c r="AB5" s="381" t="s">
        <v>71</v>
      </c>
      <c r="AC5" s="380" t="s">
        <v>69</v>
      </c>
    </row>
    <row r="6" spans="2:31" s="35" customFormat="1" x14ac:dyDescent="0.3">
      <c r="B6" s="382" t="s">
        <v>106</v>
      </c>
      <c r="C6" s="383" t="s">
        <v>319</v>
      </c>
      <c r="D6" s="384" t="s">
        <v>68</v>
      </c>
      <c r="E6" s="385" t="s">
        <v>320</v>
      </c>
      <c r="F6" s="384">
        <v>250</v>
      </c>
      <c r="G6" s="384">
        <v>250</v>
      </c>
      <c r="H6" s="173">
        <v>0.1084536826903239</v>
      </c>
      <c r="I6" s="173">
        <v>0.57455230039199501</v>
      </c>
      <c r="J6" s="173">
        <f>IF(H6&lt;&gt;"-", H6*ED_8/AT_AC*Breathing_Ratio,"-")</f>
        <v>7.3778015435594493E-2</v>
      </c>
      <c r="K6" s="173">
        <f t="shared" ref="K6:K20" si="0">IF(I6&lt;&gt;"-",I6* ED_8/AT_AC*Breathing_Ratio,"-")</f>
        <v>0.39085190502856804</v>
      </c>
      <c r="L6" s="173">
        <f t="shared" ref="L6:L20" si="1">IF(H6&lt;&gt;"-",IF(F6&gt;=EF_I,H6*ED_8*EF_I/AT_ADC_I*Breathing_Ratio,H6*ED_8*F6/AT_ADC_I*Breathing_Ratio),"-")</f>
        <v>5.4103877986102625E-2</v>
      </c>
      <c r="M6" s="173">
        <f t="shared" ref="M6:M20" si="2">IF(I6&lt;&gt;"-", IF(G6&gt;=EF_I, I6*ED_8*EF_I/AT_ADC_I*Breathing_Ratio, I6*ED_8*G6/AT_ADC_I*Breathing_Ratio),"-")</f>
        <v>0.28662473035428326</v>
      </c>
      <c r="N6" s="173">
        <f t="shared" ref="N6:N20" si="3">IF(H6&lt;&gt;"-", H6*ED_8*F6*WY_mid/AT_ADC_mid*Breathing_Ratio, "-")</f>
        <v>5.0532887284653757E-2</v>
      </c>
      <c r="O6" s="173">
        <f t="shared" ref="O6:O20" si="4">IF(I6&lt;&gt;"-", I6*ED_8*G6*WY_high/AT_ADC_high*Breathing_Ratio,"-")</f>
        <v>0.26770678426614247</v>
      </c>
      <c r="P6" s="173">
        <f t="shared" ref="P6:P20" si="5">IF(H6&lt;&gt;"-",H6*ED_8*F6*WY_mid/AT_LADC*Breathing_Ratio,"-")</f>
        <v>2.0083583408003418E-2</v>
      </c>
      <c r="Q6" s="173">
        <f t="shared" ref="Q6:Q20" si="6">IF(I6&lt;&gt;"-",I6*ED_8*G6*WY_high/AT_LADC*Breathing_Ratio,"-")</f>
        <v>0.1372855303928936</v>
      </c>
      <c r="R6" s="386">
        <v>5</v>
      </c>
      <c r="S6" s="386">
        <v>1</v>
      </c>
      <c r="T6" s="387" t="s">
        <v>321</v>
      </c>
      <c r="U6" s="388" t="s">
        <v>451</v>
      </c>
      <c r="V6" s="389"/>
      <c r="X6" s="342">
        <f>X$1/H6</f>
        <v>18441.051980786608</v>
      </c>
      <c r="Y6" s="343">
        <f>Y$1/I6</f>
        <v>3480.9711816234599</v>
      </c>
      <c r="Z6" s="342">
        <f>Z$1/L6</f>
        <v>545.24742214555317</v>
      </c>
      <c r="AA6" s="174">
        <f>AA$1/M6</f>
        <v>102.92203315302363</v>
      </c>
      <c r="AB6" s="344">
        <f>AB$1/N6</f>
        <v>583.77823997717235</v>
      </c>
      <c r="AC6" s="174">
        <f>AC$1/O6</f>
        <v>110.19519016250399</v>
      </c>
      <c r="AD6" s="315"/>
      <c r="AE6" s="315"/>
    </row>
    <row r="7" spans="2:31" s="35" customFormat="1" x14ac:dyDescent="0.3">
      <c r="B7" s="382" t="s">
        <v>113</v>
      </c>
      <c r="C7" s="383" t="s">
        <v>322</v>
      </c>
      <c r="D7" s="384" t="s">
        <v>68</v>
      </c>
      <c r="E7" s="385" t="s">
        <v>320</v>
      </c>
      <c r="F7" s="384">
        <v>250</v>
      </c>
      <c r="G7" s="384">
        <v>250</v>
      </c>
      <c r="H7" s="173">
        <v>1.2527908470376404E-2</v>
      </c>
      <c r="I7" s="173">
        <v>0.79196410150608565</v>
      </c>
      <c r="J7" s="173">
        <f t="shared" ref="J7:J20" si="7">IF(H7&lt;&gt;"-", H7*ED_8/AT_AC*Breathing_Ratio,"-")</f>
        <v>8.5223867145417711E-3</v>
      </c>
      <c r="K7" s="173">
        <f t="shared" si="0"/>
        <v>0.53875108945992223</v>
      </c>
      <c r="L7" s="173">
        <f t="shared" si="1"/>
        <v>6.2497502573306317E-3</v>
      </c>
      <c r="M7" s="173">
        <f t="shared" si="2"/>
        <v>0.39508413227060957</v>
      </c>
      <c r="N7" s="173">
        <f t="shared" si="3"/>
        <v>5.8372511743436783E-3</v>
      </c>
      <c r="O7" s="173">
        <f t="shared" si="4"/>
        <v>0.36900759552049467</v>
      </c>
      <c r="P7" s="173">
        <f t="shared" si="5"/>
        <v>2.3199331590340261E-3</v>
      </c>
      <c r="Q7" s="173">
        <f t="shared" si="6"/>
        <v>0.18923466436948444</v>
      </c>
      <c r="R7" s="386">
        <v>13</v>
      </c>
      <c r="S7" s="386">
        <v>7</v>
      </c>
      <c r="T7" s="387" t="s">
        <v>321</v>
      </c>
      <c r="U7" s="388" t="s">
        <v>451</v>
      </c>
      <c r="V7" s="389"/>
      <c r="X7" s="342">
        <f t="shared" ref="X7:X62" si="8">X$1/H7</f>
        <v>159643.56737832309</v>
      </c>
      <c r="Y7" s="343">
        <f t="shared" ref="Y7:Y62" si="9">Y$1/I7</f>
        <v>2525.3669909994419</v>
      </c>
      <c r="Z7" s="342">
        <f t="shared" ref="Z7:Z62" si="10">Z$1/L7</f>
        <v>4720.1886132006694</v>
      </c>
      <c r="AA7" s="174">
        <f t="shared" ref="AA7:AA62" si="11">AA$1/M7</f>
        <v>74.66764061228919</v>
      </c>
      <c r="AB7" s="344">
        <f t="shared" ref="AB7:AB62" si="12">AB$1/N7</f>
        <v>5053.7486085335167</v>
      </c>
      <c r="AC7" s="174">
        <f t="shared" ref="AC7:AC62" si="13">AC$1/O7</f>
        <v>79.944153882224285</v>
      </c>
      <c r="AD7" s="315"/>
      <c r="AE7" s="315"/>
    </row>
    <row r="8" spans="2:31" s="35" customFormat="1" x14ac:dyDescent="0.3">
      <c r="B8" s="382" t="s">
        <v>114</v>
      </c>
      <c r="C8" s="390" t="s">
        <v>323</v>
      </c>
      <c r="D8" s="384" t="s">
        <v>68</v>
      </c>
      <c r="E8" s="385" t="s">
        <v>320</v>
      </c>
      <c r="F8" s="384">
        <v>250</v>
      </c>
      <c r="G8" s="384">
        <v>250</v>
      </c>
      <c r="H8" s="173">
        <v>8.3231896018155567</v>
      </c>
      <c r="I8" s="173">
        <v>30.013926139880336</v>
      </c>
      <c r="J8" s="173">
        <f t="shared" si="7"/>
        <v>5.6620337427316718</v>
      </c>
      <c r="K8" s="173">
        <f t="shared" si="0"/>
        <v>20.417636829850572</v>
      </c>
      <c r="L8" s="173">
        <f t="shared" si="1"/>
        <v>4.1521580780032261</v>
      </c>
      <c r="M8" s="173">
        <f t="shared" si="2"/>
        <v>14.97293367522375</v>
      </c>
      <c r="N8" s="173">
        <f t="shared" si="3"/>
        <v>3.8781053032408703</v>
      </c>
      <c r="O8" s="173">
        <f t="shared" si="4"/>
        <v>13.984682760171621</v>
      </c>
      <c r="P8" s="173">
        <f t="shared" si="5"/>
        <v>1.5412982615444486</v>
      </c>
      <c r="Q8" s="173">
        <f t="shared" si="6"/>
        <v>7.1716321847033955</v>
      </c>
      <c r="R8" s="386">
        <v>5</v>
      </c>
      <c r="S8" s="386">
        <v>0</v>
      </c>
      <c r="T8" s="387" t="s">
        <v>321</v>
      </c>
      <c r="U8" s="388" t="s">
        <v>451</v>
      </c>
      <c r="V8" s="389"/>
      <c r="X8" s="342">
        <f t="shared" si="8"/>
        <v>240.29249550721943</v>
      </c>
      <c r="Y8" s="343">
        <f t="shared" si="9"/>
        <v>66.635734048220513</v>
      </c>
      <c r="Z8" s="342">
        <f t="shared" si="10"/>
        <v>7.1047391370481146</v>
      </c>
      <c r="AA8" s="174">
        <f t="shared" si="11"/>
        <v>1.9702217775007385</v>
      </c>
      <c r="AB8" s="344">
        <f t="shared" si="12"/>
        <v>7.6068073693995171</v>
      </c>
      <c r="AC8" s="174">
        <f t="shared" si="13"/>
        <v>2.1094507831107907</v>
      </c>
      <c r="AD8" s="315"/>
      <c r="AE8" s="315"/>
    </row>
    <row r="9" spans="2:31" s="35" customFormat="1" x14ac:dyDescent="0.3">
      <c r="B9" s="382" t="s">
        <v>115</v>
      </c>
      <c r="C9" s="383" t="s">
        <v>324</v>
      </c>
      <c r="D9" s="384" t="s">
        <v>68</v>
      </c>
      <c r="E9" s="385" t="s">
        <v>320</v>
      </c>
      <c r="F9" s="384">
        <v>250</v>
      </c>
      <c r="G9" s="384">
        <v>250</v>
      </c>
      <c r="H9" s="173">
        <v>1.2537413323360311E-2</v>
      </c>
      <c r="I9" s="173">
        <v>1.289694763462005E-2</v>
      </c>
      <c r="J9" s="173">
        <f t="shared" si="7"/>
        <v>8.5288526009253823E-3</v>
      </c>
      <c r="K9" s="173">
        <f t="shared" si="0"/>
        <v>8.7734337650476543E-3</v>
      </c>
      <c r="L9" s="173">
        <f t="shared" si="1"/>
        <v>6.2544919073452806E-3</v>
      </c>
      <c r="M9" s="173">
        <f t="shared" si="2"/>
        <v>6.4338514277016128E-3</v>
      </c>
      <c r="N9" s="173">
        <f t="shared" si="3"/>
        <v>5.8416798636475231E-3</v>
      </c>
      <c r="O9" s="173">
        <f t="shared" si="4"/>
        <v>6.0092012089367495E-3</v>
      </c>
      <c r="P9" s="173">
        <f t="shared" si="5"/>
        <v>2.321693279141964E-3</v>
      </c>
      <c r="Q9" s="173">
        <f t="shared" si="6"/>
        <v>3.0816416456085891E-3</v>
      </c>
      <c r="R9" s="386">
        <v>6</v>
      </c>
      <c r="S9" s="386">
        <v>6</v>
      </c>
      <c r="T9" s="387" t="s">
        <v>321</v>
      </c>
      <c r="U9" s="388" t="s">
        <v>451</v>
      </c>
      <c r="V9" s="389"/>
      <c r="X9" s="342">
        <f t="shared" si="8"/>
        <v>159522.53853460378</v>
      </c>
      <c r="Y9" s="343">
        <f t="shared" si="9"/>
        <v>155075.45325153373</v>
      </c>
      <c r="Z9" s="342">
        <f t="shared" si="10"/>
        <v>4716.6101478771079</v>
      </c>
      <c r="AA9" s="174">
        <f t="shared" si="11"/>
        <v>4585.1229751723358</v>
      </c>
      <c r="AB9" s="344">
        <f t="shared" si="12"/>
        <v>5049.9172649937564</v>
      </c>
      <c r="AC9" s="174">
        <f t="shared" si="13"/>
        <v>4909.1383320845143</v>
      </c>
      <c r="AD9" s="315"/>
      <c r="AE9" s="315"/>
    </row>
    <row r="10" spans="2:31" s="35" customFormat="1" x14ac:dyDescent="0.3">
      <c r="B10" s="382" t="s">
        <v>116</v>
      </c>
      <c r="C10" s="383" t="s">
        <v>455</v>
      </c>
      <c r="D10" s="384" t="s">
        <v>80</v>
      </c>
      <c r="E10" s="385" t="s">
        <v>320</v>
      </c>
      <c r="F10" s="384">
        <v>250</v>
      </c>
      <c r="G10" s="384">
        <v>250</v>
      </c>
      <c r="H10" s="173">
        <v>1.7439268814108871E-2</v>
      </c>
      <c r="I10" s="173">
        <v>0.14931297709923499</v>
      </c>
      <c r="J10" s="173">
        <f t="shared" si="7"/>
        <v>1.1863448172863179E-2</v>
      </c>
      <c r="K10" s="173">
        <f t="shared" si="0"/>
        <v>0.1015734538090034</v>
      </c>
      <c r="L10" s="173">
        <f t="shared" si="1"/>
        <v>8.699861993432997E-3</v>
      </c>
      <c r="M10" s="173">
        <f t="shared" si="2"/>
        <v>7.4487199459935829E-2</v>
      </c>
      <c r="N10" s="173">
        <f t="shared" si="3"/>
        <v>8.1256494334679286E-3</v>
      </c>
      <c r="O10" s="173">
        <f t="shared" si="4"/>
        <v>6.9570858773290001E-2</v>
      </c>
      <c r="P10" s="173">
        <f t="shared" si="5"/>
        <v>3.229424774839818E-3</v>
      </c>
      <c r="Q10" s="173">
        <f t="shared" si="6"/>
        <v>3.5677363473482049E-2</v>
      </c>
      <c r="R10" s="386">
        <v>37</v>
      </c>
      <c r="S10" s="386">
        <v>27</v>
      </c>
      <c r="T10" s="387" t="s">
        <v>321</v>
      </c>
      <c r="U10" s="388" t="s">
        <v>451</v>
      </c>
      <c r="V10" s="389"/>
      <c r="X10" s="342">
        <f t="shared" si="8"/>
        <v>114683.70728834355</v>
      </c>
      <c r="Y10" s="343">
        <f t="shared" si="9"/>
        <v>13394.683026585015</v>
      </c>
      <c r="Z10" s="342">
        <f t="shared" si="10"/>
        <v>3390.8583862902397</v>
      </c>
      <c r="AA10" s="174">
        <f t="shared" si="11"/>
        <v>396.04120189626758</v>
      </c>
      <c r="AB10" s="344">
        <f t="shared" si="12"/>
        <v>3630.4790455880839</v>
      </c>
      <c r="AC10" s="174">
        <f t="shared" si="13"/>
        <v>424.02811349693718</v>
      </c>
      <c r="AD10" s="315"/>
      <c r="AE10" s="315"/>
    </row>
    <row r="11" spans="2:31" s="35" customFormat="1" x14ac:dyDescent="0.3">
      <c r="B11" s="382" t="s">
        <v>119</v>
      </c>
      <c r="C11" s="383" t="s">
        <v>121</v>
      </c>
      <c r="D11" s="384" t="s">
        <v>68</v>
      </c>
      <c r="E11" s="385" t="s">
        <v>320</v>
      </c>
      <c r="F11" s="384">
        <v>250</v>
      </c>
      <c r="G11" s="384">
        <v>250</v>
      </c>
      <c r="H11" s="173">
        <v>0.1084536826903239</v>
      </c>
      <c r="I11" s="173">
        <v>0.57455230039199501</v>
      </c>
      <c r="J11" s="173">
        <f t="shared" si="7"/>
        <v>7.3778015435594493E-2</v>
      </c>
      <c r="K11" s="173">
        <f t="shared" si="0"/>
        <v>0.39085190502856804</v>
      </c>
      <c r="L11" s="173">
        <f t="shared" si="1"/>
        <v>5.4103877986102625E-2</v>
      </c>
      <c r="M11" s="173">
        <f t="shared" si="2"/>
        <v>0.28662473035428326</v>
      </c>
      <c r="N11" s="173">
        <f t="shared" si="3"/>
        <v>5.0532887284653757E-2</v>
      </c>
      <c r="O11" s="173">
        <f t="shared" si="4"/>
        <v>0.26770678426614247</v>
      </c>
      <c r="P11" s="173">
        <f t="shared" si="5"/>
        <v>2.0083583408003418E-2</v>
      </c>
      <c r="Q11" s="173">
        <f t="shared" si="6"/>
        <v>0.1372855303928936</v>
      </c>
      <c r="R11" s="386">
        <v>5</v>
      </c>
      <c r="S11" s="386">
        <v>1</v>
      </c>
      <c r="T11" s="387" t="s">
        <v>321</v>
      </c>
      <c r="U11" s="388" t="s">
        <v>451</v>
      </c>
      <c r="V11" s="389"/>
      <c r="W11" s="391"/>
      <c r="X11" s="342">
        <f t="shared" si="8"/>
        <v>18441.051980786608</v>
      </c>
      <c r="Y11" s="343">
        <f t="shared" si="9"/>
        <v>3480.9711816234599</v>
      </c>
      <c r="Z11" s="342">
        <f t="shared" si="10"/>
        <v>545.24742214555317</v>
      </c>
      <c r="AA11" s="174">
        <f t="shared" si="11"/>
        <v>102.92203315302363</v>
      </c>
      <c r="AB11" s="344">
        <f t="shared" si="12"/>
        <v>583.77823997717235</v>
      </c>
      <c r="AC11" s="174">
        <f t="shared" si="13"/>
        <v>110.19519016250399</v>
      </c>
      <c r="AD11" s="315"/>
      <c r="AE11" s="315"/>
    </row>
    <row r="12" spans="2:31" s="35" customFormat="1" x14ac:dyDescent="0.3">
      <c r="B12" s="382" t="s">
        <v>122</v>
      </c>
      <c r="C12" s="383" t="s">
        <v>61</v>
      </c>
      <c r="D12" s="384" t="s">
        <v>68</v>
      </c>
      <c r="E12" s="385" t="s">
        <v>320</v>
      </c>
      <c r="F12" s="384">
        <v>250</v>
      </c>
      <c r="G12" s="384">
        <v>250</v>
      </c>
      <c r="H12" s="173">
        <v>1.2527908470376404E-2</v>
      </c>
      <c r="I12" s="173">
        <v>0.79196410150608565</v>
      </c>
      <c r="J12" s="173">
        <f t="shared" ref="J12:J17" si="14">IF(H12&lt;&gt;"-", H12*ED_8/AT_AC*Breathing_Ratio,"-")</f>
        <v>8.5223867145417711E-3</v>
      </c>
      <c r="K12" s="173">
        <f t="shared" ref="K12:K17" si="15">IF(I12&lt;&gt;"-",I12* ED_8/AT_AC*Breathing_Ratio,"-")</f>
        <v>0.53875108945992223</v>
      </c>
      <c r="L12" s="173">
        <f t="shared" si="1"/>
        <v>6.2497502573306317E-3</v>
      </c>
      <c r="M12" s="173">
        <f t="shared" ref="M12:M17" si="16">IF(I12&lt;&gt;"-", IF(G12&gt;=EF_I, I12*ED_8*EF_I/AT_ADC_I*Breathing_Ratio, I12*ED_8*G12/AT_ADC_I*Breathing_Ratio),"-")</f>
        <v>0.39508413227060957</v>
      </c>
      <c r="N12" s="173">
        <f t="shared" ref="N12:N17" si="17">IF(H12&lt;&gt;"-", H12*ED_8*F12*WY_mid/AT_ADC_mid*Breathing_Ratio, "-")</f>
        <v>5.8372511743436783E-3</v>
      </c>
      <c r="O12" s="173">
        <f t="shared" ref="O12:O17" si="18">IF(I12&lt;&gt;"-", I12*ED_8*G12*WY_high/AT_ADC_high*Breathing_Ratio,"-")</f>
        <v>0.36900759552049467</v>
      </c>
      <c r="P12" s="173">
        <f t="shared" ref="P12:P17" si="19">IF(H12&lt;&gt;"-",H12*ED_8*F12*WY_mid/AT_LADC*Breathing_Ratio,"-")</f>
        <v>2.3199331590340261E-3</v>
      </c>
      <c r="Q12" s="173">
        <f t="shared" ref="Q12:Q17" si="20">IF(I12&lt;&gt;"-",I12*ED_8*G12*WY_high/AT_LADC*Breathing_Ratio,"-")</f>
        <v>0.18923466436948444</v>
      </c>
      <c r="R12" s="386">
        <v>13</v>
      </c>
      <c r="S12" s="386">
        <v>7</v>
      </c>
      <c r="T12" s="387" t="s">
        <v>321</v>
      </c>
      <c r="U12" s="388" t="s">
        <v>451</v>
      </c>
      <c r="V12" s="389"/>
      <c r="X12" s="342">
        <f t="shared" si="8"/>
        <v>159643.56737832309</v>
      </c>
      <c r="Y12" s="343">
        <f t="shared" si="9"/>
        <v>2525.3669909994419</v>
      </c>
      <c r="Z12" s="342">
        <f t="shared" si="10"/>
        <v>4720.1886132006694</v>
      </c>
      <c r="AA12" s="174">
        <f t="shared" si="11"/>
        <v>74.66764061228919</v>
      </c>
      <c r="AB12" s="344">
        <f t="shared" si="12"/>
        <v>5053.7486085335167</v>
      </c>
      <c r="AC12" s="174">
        <f t="shared" si="13"/>
        <v>79.944153882224285</v>
      </c>
      <c r="AD12" s="315"/>
      <c r="AE12" s="315"/>
    </row>
    <row r="13" spans="2:31" s="35" customFormat="1" x14ac:dyDescent="0.3">
      <c r="B13" s="382" t="s">
        <v>123</v>
      </c>
      <c r="C13" s="383" t="s">
        <v>126</v>
      </c>
      <c r="D13" s="384" t="s">
        <v>68</v>
      </c>
      <c r="E13" s="385" t="s">
        <v>320</v>
      </c>
      <c r="F13" s="384">
        <v>250</v>
      </c>
      <c r="G13" s="384">
        <v>250</v>
      </c>
      <c r="H13" s="173">
        <v>1.2537413323360311E-2</v>
      </c>
      <c r="I13" s="173">
        <v>1.289694763462005E-2</v>
      </c>
      <c r="J13" s="173">
        <f t="shared" si="14"/>
        <v>8.5288526009253823E-3</v>
      </c>
      <c r="K13" s="173">
        <f t="shared" si="15"/>
        <v>8.7734337650476543E-3</v>
      </c>
      <c r="L13" s="173">
        <f t="shared" si="1"/>
        <v>6.2544919073452806E-3</v>
      </c>
      <c r="M13" s="173">
        <f t="shared" si="16"/>
        <v>6.4338514277016128E-3</v>
      </c>
      <c r="N13" s="173">
        <f t="shared" si="17"/>
        <v>5.8416798636475231E-3</v>
      </c>
      <c r="O13" s="173">
        <f t="shared" si="18"/>
        <v>6.0092012089367495E-3</v>
      </c>
      <c r="P13" s="173">
        <f t="shared" si="19"/>
        <v>2.321693279141964E-3</v>
      </c>
      <c r="Q13" s="173">
        <f t="shared" si="20"/>
        <v>3.0816416456085891E-3</v>
      </c>
      <c r="R13" s="386">
        <v>6</v>
      </c>
      <c r="S13" s="386">
        <v>6</v>
      </c>
      <c r="T13" s="387" t="s">
        <v>321</v>
      </c>
      <c r="U13" s="388" t="s">
        <v>451</v>
      </c>
      <c r="V13" s="389"/>
      <c r="X13" s="342">
        <f t="shared" si="8"/>
        <v>159522.53853460378</v>
      </c>
      <c r="Y13" s="343">
        <f t="shared" si="9"/>
        <v>155075.45325153373</v>
      </c>
      <c r="Z13" s="342">
        <f t="shared" si="10"/>
        <v>4716.6101478771079</v>
      </c>
      <c r="AA13" s="174">
        <f t="shared" si="11"/>
        <v>4585.1229751723358</v>
      </c>
      <c r="AB13" s="344">
        <f t="shared" si="12"/>
        <v>5049.9172649937564</v>
      </c>
      <c r="AC13" s="174">
        <f t="shared" si="13"/>
        <v>4909.1383320845143</v>
      </c>
      <c r="AD13" s="315"/>
      <c r="AE13" s="315"/>
    </row>
    <row r="14" spans="2:31" s="35" customFormat="1" x14ac:dyDescent="0.3">
      <c r="B14" s="382" t="s">
        <v>125</v>
      </c>
      <c r="C14" s="383" t="s">
        <v>456</v>
      </c>
      <c r="D14" s="384" t="s">
        <v>80</v>
      </c>
      <c r="E14" s="385" t="s">
        <v>320</v>
      </c>
      <c r="F14" s="384">
        <v>250</v>
      </c>
      <c r="G14" s="384">
        <v>250</v>
      </c>
      <c r="H14" s="173">
        <v>1.7439268814108871E-2</v>
      </c>
      <c r="I14" s="173">
        <v>0.14931297709923499</v>
      </c>
      <c r="J14" s="173">
        <f t="shared" si="14"/>
        <v>1.1863448172863179E-2</v>
      </c>
      <c r="K14" s="173">
        <f t="shared" si="15"/>
        <v>0.1015734538090034</v>
      </c>
      <c r="L14" s="173">
        <f t="shared" si="1"/>
        <v>8.699861993432997E-3</v>
      </c>
      <c r="M14" s="173">
        <f t="shared" si="16"/>
        <v>7.4487199459935829E-2</v>
      </c>
      <c r="N14" s="173">
        <f t="shared" si="17"/>
        <v>8.1256494334679286E-3</v>
      </c>
      <c r="O14" s="173">
        <f t="shared" si="18"/>
        <v>6.9570858773290001E-2</v>
      </c>
      <c r="P14" s="173">
        <f t="shared" si="19"/>
        <v>3.229424774839818E-3</v>
      </c>
      <c r="Q14" s="173">
        <f t="shared" si="20"/>
        <v>3.5677363473482049E-2</v>
      </c>
      <c r="R14" s="386">
        <v>37</v>
      </c>
      <c r="S14" s="386">
        <v>27</v>
      </c>
      <c r="T14" s="387" t="s">
        <v>321</v>
      </c>
      <c r="U14" s="388" t="s">
        <v>451</v>
      </c>
      <c r="V14" s="389"/>
      <c r="X14" s="342">
        <f t="shared" si="8"/>
        <v>114683.70728834355</v>
      </c>
      <c r="Y14" s="343">
        <f t="shared" si="9"/>
        <v>13394.683026585015</v>
      </c>
      <c r="Z14" s="342">
        <f t="shared" si="10"/>
        <v>3390.8583862902397</v>
      </c>
      <c r="AA14" s="174">
        <f t="shared" si="11"/>
        <v>396.04120189626758</v>
      </c>
      <c r="AB14" s="344">
        <f t="shared" si="12"/>
        <v>3630.4790455880839</v>
      </c>
      <c r="AC14" s="174">
        <f t="shared" si="13"/>
        <v>424.02811349693718</v>
      </c>
      <c r="AD14" s="315"/>
      <c r="AE14" s="315"/>
    </row>
    <row r="15" spans="2:31" s="35" customFormat="1" x14ac:dyDescent="0.3">
      <c r="B15" s="382" t="s">
        <v>130</v>
      </c>
      <c r="C15" s="383" t="s">
        <v>132</v>
      </c>
      <c r="D15" s="384" t="s">
        <v>68</v>
      </c>
      <c r="E15" s="385" t="s">
        <v>320</v>
      </c>
      <c r="F15" s="384">
        <v>167</v>
      </c>
      <c r="G15" s="384">
        <v>250</v>
      </c>
      <c r="H15" s="173">
        <v>0.99626057355064979</v>
      </c>
      <c r="I15" s="173">
        <v>1.4943908603259746</v>
      </c>
      <c r="J15" s="173">
        <f t="shared" si="14"/>
        <v>0.6777282813269726</v>
      </c>
      <c r="K15" s="173">
        <f t="shared" si="15"/>
        <v>1.016592421990459</v>
      </c>
      <c r="L15" s="173">
        <f t="shared" si="1"/>
        <v>0.49700073963977998</v>
      </c>
      <c r="M15" s="173">
        <f t="shared" si="16"/>
        <v>0.74550110945966996</v>
      </c>
      <c r="N15" s="173">
        <f t="shared" si="17"/>
        <v>0.31008389857973817</v>
      </c>
      <c r="O15" s="173">
        <f t="shared" si="18"/>
        <v>0.6962961794455198</v>
      </c>
      <c r="P15" s="173">
        <f t="shared" si="19"/>
        <v>0.12323847251246005</v>
      </c>
      <c r="Q15" s="173">
        <f t="shared" si="20"/>
        <v>0.35707496381821524</v>
      </c>
      <c r="R15" s="386">
        <v>6</v>
      </c>
      <c r="S15" s="386">
        <v>0</v>
      </c>
      <c r="T15" s="387" t="s">
        <v>326</v>
      </c>
      <c r="U15" s="388" t="s">
        <v>451</v>
      </c>
      <c r="V15" s="389"/>
      <c r="X15" s="342">
        <f t="shared" si="8"/>
        <v>2007.5069244906942</v>
      </c>
      <c r="Y15" s="343">
        <f t="shared" si="9"/>
        <v>1338.337949660463</v>
      </c>
      <c r="Z15" s="342">
        <f t="shared" si="10"/>
        <v>59.356048486731098</v>
      </c>
      <c r="AA15" s="174">
        <f t="shared" si="11"/>
        <v>39.570698991154067</v>
      </c>
      <c r="AB15" s="344">
        <f t="shared" si="12"/>
        <v>95.13554278412191</v>
      </c>
      <c r="AC15" s="174">
        <f t="shared" si="13"/>
        <v>42.367028386528958</v>
      </c>
      <c r="AD15" s="315"/>
      <c r="AE15" s="315"/>
    </row>
    <row r="16" spans="2:31" s="35" customFormat="1" x14ac:dyDescent="0.3">
      <c r="B16" s="382" t="s">
        <v>133</v>
      </c>
      <c r="C16" s="383" t="s">
        <v>134</v>
      </c>
      <c r="D16" s="384" t="s">
        <v>68</v>
      </c>
      <c r="E16" s="385" t="s">
        <v>320</v>
      </c>
      <c r="F16" s="384">
        <v>167</v>
      </c>
      <c r="G16" s="384">
        <v>250</v>
      </c>
      <c r="H16" s="173">
        <v>27.743965339385188</v>
      </c>
      <c r="I16" s="173">
        <v>127.11780482772849</v>
      </c>
      <c r="J16" s="173">
        <f t="shared" si="14"/>
        <v>18.873445809105569</v>
      </c>
      <c r="K16" s="173">
        <f t="shared" si="15"/>
        <v>86.474697161720059</v>
      </c>
      <c r="L16" s="173">
        <f t="shared" si="1"/>
        <v>13.840526926677416</v>
      </c>
      <c r="M16" s="173">
        <f t="shared" si="16"/>
        <v>63.414777918594723</v>
      </c>
      <c r="N16" s="173">
        <f t="shared" si="17"/>
        <v>8.6352478085496713</v>
      </c>
      <c r="O16" s="173">
        <f t="shared" si="18"/>
        <v>59.229244631315112</v>
      </c>
      <c r="P16" s="173">
        <f t="shared" si="19"/>
        <v>3.4319574623723046</v>
      </c>
      <c r="Q16" s="173">
        <f t="shared" si="20"/>
        <v>30.373971605802623</v>
      </c>
      <c r="R16" s="386">
        <v>9</v>
      </c>
      <c r="S16" s="386">
        <v>3</v>
      </c>
      <c r="T16" s="387" t="s">
        <v>326</v>
      </c>
      <c r="U16" s="388" t="s">
        <v>451</v>
      </c>
      <c r="V16" s="389"/>
      <c r="X16" s="342">
        <f t="shared" si="8"/>
        <v>72.087748652165828</v>
      </c>
      <c r="Y16" s="343">
        <f t="shared" si="9"/>
        <v>15.733437205829844</v>
      </c>
      <c r="Z16" s="342">
        <f t="shared" si="10"/>
        <v>2.1314217411144352</v>
      </c>
      <c r="AA16" s="174">
        <f t="shared" si="11"/>
        <v>0.46519125302100756</v>
      </c>
      <c r="AB16" s="344">
        <f t="shared" si="12"/>
        <v>3.4162308545207409</v>
      </c>
      <c r="AC16" s="174">
        <f t="shared" si="13"/>
        <v>0.49806476823449214</v>
      </c>
      <c r="AD16" s="315"/>
      <c r="AE16" s="315"/>
    </row>
    <row r="17" spans="2:31" s="35" customFormat="1" x14ac:dyDescent="0.3">
      <c r="B17" s="382" t="s">
        <v>458</v>
      </c>
      <c r="C17" s="383" t="s">
        <v>457</v>
      </c>
      <c r="D17" s="384" t="s">
        <v>80</v>
      </c>
      <c r="E17" s="385" t="s">
        <v>320</v>
      </c>
      <c r="F17" s="384">
        <v>167</v>
      </c>
      <c r="G17" s="384">
        <v>250</v>
      </c>
      <c r="H17" s="173">
        <v>1.4376418403135962</v>
      </c>
      <c r="I17" s="173">
        <v>1.4376418403135962</v>
      </c>
      <c r="J17" s="173">
        <f t="shared" si="14"/>
        <v>0.97798764647183412</v>
      </c>
      <c r="K17" s="173">
        <f t="shared" si="15"/>
        <v>0.97798764647183412</v>
      </c>
      <c r="L17" s="173">
        <f t="shared" si="1"/>
        <v>0.71719094074601164</v>
      </c>
      <c r="M17" s="173">
        <f t="shared" si="16"/>
        <v>0.71719094074601164</v>
      </c>
      <c r="N17" s="173">
        <f t="shared" si="17"/>
        <v>0.44746284098848305</v>
      </c>
      <c r="O17" s="173">
        <f t="shared" si="18"/>
        <v>0.66985455237796854</v>
      </c>
      <c r="P17" s="173">
        <f t="shared" si="19"/>
        <v>0.17783779577747405</v>
      </c>
      <c r="Q17" s="173">
        <f t="shared" si="20"/>
        <v>0.34351515506562491</v>
      </c>
      <c r="R17" s="386">
        <v>15</v>
      </c>
      <c r="S17" s="386">
        <v>3</v>
      </c>
      <c r="T17" s="387" t="s">
        <v>327</v>
      </c>
      <c r="U17" s="388" t="s">
        <v>451</v>
      </c>
      <c r="V17" s="389"/>
      <c r="X17" s="342">
        <f t="shared" si="8"/>
        <v>1391.1670792523228</v>
      </c>
      <c r="Y17" s="343">
        <f t="shared" si="9"/>
        <v>1391.1670792523228</v>
      </c>
      <c r="Z17" s="342">
        <f t="shared" si="10"/>
        <v>41.132700267120676</v>
      </c>
      <c r="AA17" s="174">
        <f t="shared" si="11"/>
        <v>41.132700267120676</v>
      </c>
      <c r="AB17" s="344">
        <f t="shared" si="12"/>
        <v>65.927262104786223</v>
      </c>
      <c r="AC17" s="174">
        <f t="shared" si="13"/>
        <v>44.039411085997202</v>
      </c>
      <c r="AD17" s="315"/>
      <c r="AE17" s="315"/>
    </row>
    <row r="18" spans="2:31" s="35" customFormat="1" x14ac:dyDescent="0.3">
      <c r="B18" s="382" t="s">
        <v>136</v>
      </c>
      <c r="C18" s="390" t="s">
        <v>139</v>
      </c>
      <c r="D18" s="384" t="s">
        <v>68</v>
      </c>
      <c r="E18" s="385" t="s">
        <v>320</v>
      </c>
      <c r="F18" s="384">
        <v>250</v>
      </c>
      <c r="G18" s="384">
        <v>250</v>
      </c>
      <c r="H18" s="173">
        <v>0.1084536826903239</v>
      </c>
      <c r="I18" s="173">
        <v>0.57455230039199501</v>
      </c>
      <c r="J18" s="173">
        <f t="shared" si="7"/>
        <v>7.3778015435594493E-2</v>
      </c>
      <c r="K18" s="173">
        <f t="shared" si="0"/>
        <v>0.39085190502856804</v>
      </c>
      <c r="L18" s="173">
        <f t="shared" si="1"/>
        <v>5.4103877986102625E-2</v>
      </c>
      <c r="M18" s="173">
        <f t="shared" si="2"/>
        <v>0.28662473035428326</v>
      </c>
      <c r="N18" s="173">
        <f t="shared" si="3"/>
        <v>5.0532887284653757E-2</v>
      </c>
      <c r="O18" s="173">
        <f t="shared" si="4"/>
        <v>0.26770678426614247</v>
      </c>
      <c r="P18" s="173">
        <f t="shared" si="5"/>
        <v>2.0083583408003418E-2</v>
      </c>
      <c r="Q18" s="173">
        <f t="shared" si="6"/>
        <v>0.1372855303928936</v>
      </c>
      <c r="R18" s="386">
        <v>5</v>
      </c>
      <c r="S18" s="386">
        <v>1</v>
      </c>
      <c r="T18" s="387" t="s">
        <v>328</v>
      </c>
      <c r="U18" s="388" t="s">
        <v>451</v>
      </c>
      <c r="V18" s="389"/>
      <c r="X18" s="342">
        <f t="shared" si="8"/>
        <v>18441.051980786608</v>
      </c>
      <c r="Y18" s="343">
        <f t="shared" si="9"/>
        <v>3480.9711816234599</v>
      </c>
      <c r="Z18" s="342">
        <f t="shared" si="10"/>
        <v>545.24742214555317</v>
      </c>
      <c r="AA18" s="174">
        <f t="shared" si="11"/>
        <v>102.92203315302363</v>
      </c>
      <c r="AB18" s="344">
        <f t="shared" si="12"/>
        <v>583.77823997717235</v>
      </c>
      <c r="AC18" s="174">
        <f t="shared" si="13"/>
        <v>110.19519016250399</v>
      </c>
      <c r="AD18" s="315"/>
      <c r="AE18" s="315"/>
    </row>
    <row r="19" spans="2:31" s="35" customFormat="1" x14ac:dyDescent="0.3">
      <c r="B19" s="382" t="s">
        <v>140</v>
      </c>
      <c r="C19" s="383" t="s">
        <v>141</v>
      </c>
      <c r="D19" s="384" t="s">
        <v>68</v>
      </c>
      <c r="E19" s="385" t="s">
        <v>320</v>
      </c>
      <c r="F19" s="384">
        <v>250</v>
      </c>
      <c r="G19" s="384">
        <v>250</v>
      </c>
      <c r="H19" s="173">
        <v>1.2527908470376404E-2</v>
      </c>
      <c r="I19" s="173">
        <v>0.79196410150608565</v>
      </c>
      <c r="J19" s="173">
        <f t="shared" si="7"/>
        <v>8.5223867145417711E-3</v>
      </c>
      <c r="K19" s="173">
        <f t="shared" si="0"/>
        <v>0.53875108945992223</v>
      </c>
      <c r="L19" s="173">
        <f t="shared" si="1"/>
        <v>6.2497502573306317E-3</v>
      </c>
      <c r="M19" s="173">
        <f t="shared" si="2"/>
        <v>0.39508413227060957</v>
      </c>
      <c r="N19" s="173">
        <f t="shared" si="3"/>
        <v>5.8372511743436783E-3</v>
      </c>
      <c r="O19" s="173">
        <f t="shared" si="4"/>
        <v>0.36900759552049467</v>
      </c>
      <c r="P19" s="173">
        <f t="shared" si="5"/>
        <v>2.3199331590340261E-3</v>
      </c>
      <c r="Q19" s="173">
        <f t="shared" si="6"/>
        <v>0.18923466436948444</v>
      </c>
      <c r="R19" s="386">
        <v>13</v>
      </c>
      <c r="S19" s="386">
        <v>7</v>
      </c>
      <c r="T19" s="387" t="s">
        <v>328</v>
      </c>
      <c r="U19" s="388" t="s">
        <v>451</v>
      </c>
      <c r="V19" s="389"/>
      <c r="W19" s="391"/>
      <c r="X19" s="342">
        <f t="shared" si="8"/>
        <v>159643.56737832309</v>
      </c>
      <c r="Y19" s="343">
        <f t="shared" si="9"/>
        <v>2525.3669909994419</v>
      </c>
      <c r="Z19" s="342">
        <f t="shared" si="10"/>
        <v>4720.1886132006694</v>
      </c>
      <c r="AA19" s="174">
        <f t="shared" si="11"/>
        <v>74.66764061228919</v>
      </c>
      <c r="AB19" s="344">
        <f t="shared" si="12"/>
        <v>5053.7486085335167</v>
      </c>
      <c r="AC19" s="174">
        <f t="shared" si="13"/>
        <v>79.944153882224285</v>
      </c>
      <c r="AD19" s="315"/>
      <c r="AE19" s="315"/>
    </row>
    <row r="20" spans="2:31" s="35" customFormat="1" x14ac:dyDescent="0.3">
      <c r="B20" s="382" t="s">
        <v>142</v>
      </c>
      <c r="C20" s="383" t="s">
        <v>145</v>
      </c>
      <c r="D20" s="384" t="s">
        <v>68</v>
      </c>
      <c r="E20" s="385" t="s">
        <v>320</v>
      </c>
      <c r="F20" s="384">
        <v>250</v>
      </c>
      <c r="G20" s="384">
        <v>250</v>
      </c>
      <c r="H20" s="173">
        <v>1.2537413323360311E-2</v>
      </c>
      <c r="I20" s="173">
        <v>1.289694763462005E-2</v>
      </c>
      <c r="J20" s="173">
        <f t="shared" si="7"/>
        <v>8.5288526009253823E-3</v>
      </c>
      <c r="K20" s="173">
        <f t="shared" si="0"/>
        <v>8.7734337650476543E-3</v>
      </c>
      <c r="L20" s="173">
        <f t="shared" si="1"/>
        <v>6.2544919073452806E-3</v>
      </c>
      <c r="M20" s="173">
        <f t="shared" si="2"/>
        <v>6.4338514277016128E-3</v>
      </c>
      <c r="N20" s="173">
        <f t="shared" si="3"/>
        <v>5.8416798636475231E-3</v>
      </c>
      <c r="O20" s="173">
        <f t="shared" si="4"/>
        <v>6.0092012089367495E-3</v>
      </c>
      <c r="P20" s="173">
        <f t="shared" si="5"/>
        <v>2.321693279141964E-3</v>
      </c>
      <c r="Q20" s="173">
        <f t="shared" si="6"/>
        <v>3.0816416456085891E-3</v>
      </c>
      <c r="R20" s="386">
        <v>6</v>
      </c>
      <c r="S20" s="386">
        <v>6</v>
      </c>
      <c r="T20" s="387" t="s">
        <v>328</v>
      </c>
      <c r="U20" s="388" t="s">
        <v>451</v>
      </c>
      <c r="V20" s="389"/>
      <c r="X20" s="342">
        <f t="shared" si="8"/>
        <v>159522.53853460378</v>
      </c>
      <c r="Y20" s="343">
        <f t="shared" si="9"/>
        <v>155075.45325153373</v>
      </c>
      <c r="Z20" s="342">
        <f t="shared" si="10"/>
        <v>4716.6101478771079</v>
      </c>
      <c r="AA20" s="174">
        <f t="shared" si="11"/>
        <v>4585.1229751723358</v>
      </c>
      <c r="AB20" s="344">
        <f t="shared" si="12"/>
        <v>5049.9172649937564</v>
      </c>
      <c r="AC20" s="174">
        <f t="shared" si="13"/>
        <v>4909.1383320845143</v>
      </c>
      <c r="AD20" s="315"/>
      <c r="AE20" s="315"/>
    </row>
    <row r="21" spans="2:31" s="35" customFormat="1" x14ac:dyDescent="0.3">
      <c r="B21" s="382" t="s">
        <v>144</v>
      </c>
      <c r="C21" s="383" t="s">
        <v>459</v>
      </c>
      <c r="D21" s="384" t="s">
        <v>80</v>
      </c>
      <c r="E21" s="385" t="s">
        <v>320</v>
      </c>
      <c r="F21" s="384">
        <v>250</v>
      </c>
      <c r="G21" s="384">
        <v>250</v>
      </c>
      <c r="H21" s="173">
        <v>1.7439268814108871E-2</v>
      </c>
      <c r="I21" s="173">
        <v>0.14931297709923499</v>
      </c>
      <c r="J21" s="173">
        <f t="shared" ref="J21:J34" si="21">IF(H21&lt;&gt;"-", H21*ED_8/AT_AC*Breathing_Ratio,"-")</f>
        <v>1.1863448172863179E-2</v>
      </c>
      <c r="K21" s="173">
        <f t="shared" ref="K21:K34" si="22">IF(I21&lt;&gt;"-",I21* ED_8/AT_AC*Breathing_Ratio,"-")</f>
        <v>0.1015734538090034</v>
      </c>
      <c r="L21" s="173">
        <f t="shared" ref="L21:L62" si="23">IF(H21&lt;&gt;"-",IF(F21&gt;=EF_I,H21*ED_8*EF_I/AT_ADC_I*Breathing_Ratio,H21*ED_8*F21/AT_ADC_I*Breathing_Ratio),"-")</f>
        <v>8.699861993432997E-3</v>
      </c>
      <c r="M21" s="173">
        <f t="shared" ref="M21:M34" si="24">IF(I21&lt;&gt;"-", IF(G21&gt;=EF_I, I21*ED_8*EF_I/AT_ADC_I*Breathing_Ratio, I21*ED_8*G21/AT_ADC_I*Breathing_Ratio),"-")</f>
        <v>7.4487199459935829E-2</v>
      </c>
      <c r="N21" s="173">
        <f t="shared" ref="N21:N34" si="25">IF(H21&lt;&gt;"-", H21*ED_8*F21*WY_mid/AT_ADC_mid*Breathing_Ratio, "-")</f>
        <v>8.1256494334679286E-3</v>
      </c>
      <c r="O21" s="173">
        <f t="shared" ref="O21:O34" si="26">IF(I21&lt;&gt;"-", I21*ED_8*G21*WY_high/AT_ADC_high*Breathing_Ratio,"-")</f>
        <v>6.9570858773290001E-2</v>
      </c>
      <c r="P21" s="173">
        <f t="shared" ref="P21:P34" si="27">IF(H21&lt;&gt;"-",H21*ED_8*F21*WY_mid/AT_LADC*Breathing_Ratio,"-")</f>
        <v>3.229424774839818E-3</v>
      </c>
      <c r="Q21" s="173">
        <f t="shared" ref="Q21:Q34" si="28">IF(I21&lt;&gt;"-",I21*ED_8*G21*WY_high/AT_LADC*Breathing_Ratio,"-")</f>
        <v>3.5677363473482049E-2</v>
      </c>
      <c r="R21" s="386">
        <v>37</v>
      </c>
      <c r="S21" s="386">
        <v>27</v>
      </c>
      <c r="T21" s="387" t="s">
        <v>328</v>
      </c>
      <c r="U21" s="388" t="s">
        <v>451</v>
      </c>
      <c r="V21" s="389"/>
      <c r="W21" s="391"/>
      <c r="X21" s="342">
        <f t="shared" si="8"/>
        <v>114683.70728834355</v>
      </c>
      <c r="Y21" s="343">
        <f t="shared" si="9"/>
        <v>13394.683026585015</v>
      </c>
      <c r="Z21" s="342">
        <f t="shared" si="10"/>
        <v>3390.8583862902397</v>
      </c>
      <c r="AA21" s="174">
        <f t="shared" si="11"/>
        <v>396.04120189626758</v>
      </c>
      <c r="AB21" s="344">
        <f t="shared" si="12"/>
        <v>3630.4790455880839</v>
      </c>
      <c r="AC21" s="174">
        <f t="shared" si="13"/>
        <v>424.02811349693718</v>
      </c>
      <c r="AD21" s="315"/>
      <c r="AE21" s="315"/>
    </row>
    <row r="22" spans="2:31" s="35" customFormat="1" x14ac:dyDescent="0.3">
      <c r="B22" s="382" t="s">
        <v>460</v>
      </c>
      <c r="C22" s="390" t="s">
        <v>499</v>
      </c>
      <c r="D22" s="384" t="s">
        <v>68</v>
      </c>
      <c r="E22" s="385" t="s">
        <v>320</v>
      </c>
      <c r="F22" s="384">
        <v>250</v>
      </c>
      <c r="G22" s="384">
        <v>250</v>
      </c>
      <c r="H22" s="173">
        <v>67.055798045182584</v>
      </c>
      <c r="I22" s="173">
        <v>121.78970239323294</v>
      </c>
      <c r="J22" s="173">
        <f t="shared" ref="J22:J29" si="29">IF(H22&lt;&gt;"-", H22*ED_8/AT_AC*Breathing_Ratio,"-")</f>
        <v>45.616189146382716</v>
      </c>
      <c r="K22" s="173">
        <f t="shared" ref="K22:K29" si="30">IF(I22&lt;&gt;"-",I22* ED_8/AT_AC*Breathing_Ratio,"-")</f>
        <v>82.850137682471399</v>
      </c>
      <c r="L22" s="173">
        <f t="shared" ref="L22:L29" si="31">IF(H22&lt;&gt;"-",IF(F22&gt;=EF_I,H22*ED_8*EF_I/AT_ADC_I*Breathing_Ratio,H22*ED_8*F22/AT_ADC_I*Breathing_Ratio),"-")</f>
        <v>33.451872040680648</v>
      </c>
      <c r="M22" s="173">
        <f t="shared" ref="M22:M29" si="32">IF(I22&lt;&gt;"-", IF(G22&gt;=EF_I, I22*ED_8*EF_I/AT_ADC_I*Breathing_Ratio, I22*ED_8*G22/AT_ADC_I*Breathing_Ratio),"-")</f>
        <v>60.756767633812359</v>
      </c>
      <c r="N22" s="173">
        <f t="shared" ref="N22:N29" si="33">IF(H22&lt;&gt;"-", H22*ED_8*F22*WY_mid/AT_ADC_mid*Breathing_Ratio, "-")</f>
        <v>31.243965168755281</v>
      </c>
      <c r="O22" s="173">
        <f t="shared" ref="O22:O29" si="34">IF(I22&lt;&gt;"-", I22*ED_8*G22*WY_high/AT_ADC_high*Breathing_Ratio,"-")</f>
        <v>56.74666964552835</v>
      </c>
      <c r="P22" s="173">
        <f t="shared" ref="P22:P29" si="35">IF(H22&lt;&gt;"-",H22*ED_8*F22*WY_mid/AT_LADC*Breathing_Ratio,"-")</f>
        <v>12.417473336300176</v>
      </c>
      <c r="Q22" s="173">
        <f t="shared" ref="Q22:Q29" si="36">IF(I22&lt;&gt;"-",I22*ED_8*G22*WY_high/AT_LADC*Breathing_Ratio,"-")</f>
        <v>29.100856228476076</v>
      </c>
      <c r="R22" s="386">
        <v>6</v>
      </c>
      <c r="S22" s="386">
        <v>0</v>
      </c>
      <c r="T22" s="387" t="s">
        <v>321</v>
      </c>
      <c r="U22" s="388" t="s">
        <v>451</v>
      </c>
      <c r="V22" s="389"/>
      <c r="W22" s="391"/>
      <c r="X22" s="342">
        <f>X$1/H22</f>
        <v>29.825907055082521</v>
      </c>
      <c r="Y22" s="343">
        <f>Y$1/I22</f>
        <v>16.42174962824383</v>
      </c>
      <c r="Z22" s="342">
        <f t="shared" ref="Z22:AC23" si="37">Z$1/L22</f>
        <v>0.88186394962067305</v>
      </c>
      <c r="AA22" s="174">
        <f t="shared" si="37"/>
        <v>0.48554261770145024</v>
      </c>
      <c r="AB22" s="344">
        <f t="shared" si="37"/>
        <v>0.94418233539386709</v>
      </c>
      <c r="AC22" s="174">
        <f t="shared" si="37"/>
        <v>0.51985429601901945</v>
      </c>
      <c r="AD22" s="315"/>
      <c r="AE22" s="315"/>
    </row>
    <row r="23" spans="2:31" s="35" customFormat="1" x14ac:dyDescent="0.3">
      <c r="B23" s="382" t="s">
        <v>461</v>
      </c>
      <c r="C23" s="383" t="s">
        <v>498</v>
      </c>
      <c r="D23" s="384" t="s">
        <v>68</v>
      </c>
      <c r="E23" s="385" t="s">
        <v>320</v>
      </c>
      <c r="F23" s="384">
        <v>250</v>
      </c>
      <c r="G23" s="384">
        <v>250</v>
      </c>
      <c r="H23" s="173">
        <v>1.5133072003301009</v>
      </c>
      <c r="I23" s="173">
        <v>3.0102202393232922</v>
      </c>
      <c r="J23" s="173">
        <f t="shared" si="29"/>
        <v>1.0294606804966673</v>
      </c>
      <c r="K23" s="173">
        <f t="shared" si="30"/>
        <v>2.0477688702879537</v>
      </c>
      <c r="L23" s="173">
        <f t="shared" si="31"/>
        <v>0.75493783236422263</v>
      </c>
      <c r="M23" s="173">
        <f t="shared" si="32"/>
        <v>1.5016971715444998</v>
      </c>
      <c r="N23" s="173">
        <f t="shared" si="33"/>
        <v>0.70511005513470371</v>
      </c>
      <c r="O23" s="173">
        <f t="shared" si="34"/>
        <v>1.4025814180054479</v>
      </c>
      <c r="P23" s="173">
        <f t="shared" si="35"/>
        <v>0.28023604755353604</v>
      </c>
      <c r="Q23" s="173">
        <f t="shared" si="36"/>
        <v>0.71927252205407588</v>
      </c>
      <c r="R23" s="386">
        <v>8</v>
      </c>
      <c r="S23" s="386">
        <v>0</v>
      </c>
      <c r="T23" s="387" t="s">
        <v>321</v>
      </c>
      <c r="U23" s="388" t="s">
        <v>451</v>
      </c>
      <c r="V23" s="389"/>
      <c r="W23" s="391"/>
      <c r="X23" s="342">
        <f>X$1/H23</f>
        <v>1321.6087252897071</v>
      </c>
      <c r="Y23" s="343">
        <f>Y$1/I23</f>
        <v>664.40321338401702</v>
      </c>
      <c r="Z23" s="342">
        <f t="shared" si="37"/>
        <v>39.076065253764646</v>
      </c>
      <c r="AA23" s="174">
        <f t="shared" si="37"/>
        <v>19.644440010271289</v>
      </c>
      <c r="AB23" s="344">
        <f t="shared" si="37"/>
        <v>41.837440531697339</v>
      </c>
      <c r="AC23" s="174">
        <f t="shared" si="37"/>
        <v>21.032647104330465</v>
      </c>
      <c r="AD23" s="315"/>
      <c r="AE23" s="315"/>
    </row>
    <row r="24" spans="2:31" s="35" customFormat="1" x14ac:dyDescent="0.3">
      <c r="B24" s="382" t="s">
        <v>462</v>
      </c>
      <c r="C24" s="383" t="s">
        <v>497</v>
      </c>
      <c r="D24" s="384" t="s">
        <v>80</v>
      </c>
      <c r="E24" s="385" t="s">
        <v>320</v>
      </c>
      <c r="F24" s="384">
        <v>250</v>
      </c>
      <c r="G24" s="384">
        <v>250</v>
      </c>
      <c r="H24" s="173">
        <v>0.2752616470239323</v>
      </c>
      <c r="I24" s="173">
        <v>0.7870458531050134</v>
      </c>
      <c r="J24" s="173">
        <f t="shared" si="29"/>
        <v>0.18725282110471586</v>
      </c>
      <c r="K24" s="173">
        <f t="shared" si="30"/>
        <v>0.53540534224830838</v>
      </c>
      <c r="L24" s="173">
        <f t="shared" si="31"/>
        <v>0.13731873547679163</v>
      </c>
      <c r="M24" s="173">
        <f t="shared" si="32"/>
        <v>0.39263058431542619</v>
      </c>
      <c r="N24" s="173">
        <f t="shared" si="33"/>
        <v>0.12825535692103826</v>
      </c>
      <c r="O24" s="173">
        <f t="shared" si="34"/>
        <v>0.36671598784130716</v>
      </c>
      <c r="P24" s="173">
        <f t="shared" si="35"/>
        <v>5.0973282878874183E-2</v>
      </c>
      <c r="Q24" s="173">
        <f t="shared" si="36"/>
        <v>0.18805948094426009</v>
      </c>
      <c r="R24" s="386">
        <v>10</v>
      </c>
      <c r="S24" s="386">
        <v>2</v>
      </c>
      <c r="T24" s="387" t="s">
        <v>321</v>
      </c>
      <c r="U24" s="388" t="s">
        <v>451</v>
      </c>
      <c r="V24" s="389"/>
      <c r="W24" s="391"/>
      <c r="X24" s="342"/>
      <c r="Y24" s="343"/>
      <c r="Z24" s="342"/>
      <c r="AA24" s="174"/>
      <c r="AB24" s="344"/>
      <c r="AC24" s="174"/>
      <c r="AD24" s="315"/>
      <c r="AE24" s="315"/>
    </row>
    <row r="25" spans="2:31" s="35" customFormat="1" x14ac:dyDescent="0.3">
      <c r="B25" s="382" t="s">
        <v>463</v>
      </c>
      <c r="C25" s="383" t="s">
        <v>466</v>
      </c>
      <c r="D25" s="384" t="s">
        <v>68</v>
      </c>
      <c r="E25" s="384" t="s">
        <v>320</v>
      </c>
      <c r="F25" s="384">
        <v>250</v>
      </c>
      <c r="G25" s="384">
        <v>250</v>
      </c>
      <c r="H25" s="173">
        <v>12.737002269445016</v>
      </c>
      <c r="I25" s="173">
        <v>57.631782545904684</v>
      </c>
      <c r="J25" s="392">
        <f t="shared" si="29"/>
        <v>8.6646273941802825</v>
      </c>
      <c r="K25" s="392">
        <f t="shared" si="30"/>
        <v>39.205294248914754</v>
      </c>
      <c r="L25" s="392">
        <f t="shared" si="31"/>
        <v>6.3540600890655421</v>
      </c>
      <c r="M25" s="392">
        <f t="shared" si="32"/>
        <v>28.750549115870818</v>
      </c>
      <c r="N25" s="392">
        <f t="shared" si="33"/>
        <v>5.9346762973837563</v>
      </c>
      <c r="O25" s="392">
        <f t="shared" si="34"/>
        <v>26.852941266379968</v>
      </c>
      <c r="P25" s="392">
        <f t="shared" si="35"/>
        <v>2.3586534002422619</v>
      </c>
      <c r="Q25" s="392">
        <f t="shared" si="36"/>
        <v>13.770739110964087</v>
      </c>
      <c r="R25" s="386">
        <v>6</v>
      </c>
      <c r="S25" s="386">
        <v>0</v>
      </c>
      <c r="T25" s="387" t="s">
        <v>321</v>
      </c>
      <c r="U25" s="388" t="s">
        <v>451</v>
      </c>
      <c r="V25" s="389"/>
      <c r="X25" s="342">
        <f t="shared" ref="X25:Y29" si="38">X$1/H25</f>
        <v>157.02281884630182</v>
      </c>
      <c r="Y25" s="343">
        <f t="shared" si="38"/>
        <v>34.70307374940149</v>
      </c>
      <c r="Z25" s="342">
        <f t="shared" ref="Z25:AC29" si="39">Z$1/L25</f>
        <v>4.6427008222294619</v>
      </c>
      <c r="AA25" s="174">
        <f t="shared" si="39"/>
        <v>1.026067358960997</v>
      </c>
      <c r="AB25" s="344">
        <f t="shared" si="39"/>
        <v>4.9707850136670109</v>
      </c>
      <c r="AC25" s="174">
        <f t="shared" si="39"/>
        <v>1.0985761189942409</v>
      </c>
      <c r="AD25" s="315"/>
      <c r="AE25" s="315"/>
    </row>
    <row r="26" spans="2:31" s="35" customFormat="1" x14ac:dyDescent="0.3">
      <c r="B26" s="382" t="s">
        <v>464</v>
      </c>
      <c r="C26" s="383" t="s">
        <v>467</v>
      </c>
      <c r="D26" s="384" t="s">
        <v>68</v>
      </c>
      <c r="E26" s="384" t="s">
        <v>320</v>
      </c>
      <c r="F26" s="384">
        <v>250</v>
      </c>
      <c r="G26" s="384">
        <v>250</v>
      </c>
      <c r="H26" s="173">
        <v>5.9271198679595622</v>
      </c>
      <c r="I26" s="173">
        <v>45.273107076542189</v>
      </c>
      <c r="J26" s="392">
        <f t="shared" si="29"/>
        <v>4.0320543319452806</v>
      </c>
      <c r="K26" s="392">
        <f t="shared" si="30"/>
        <v>30.798032024858635</v>
      </c>
      <c r="L26" s="392">
        <f t="shared" si="31"/>
        <v>2.9568398434265393</v>
      </c>
      <c r="M26" s="392">
        <f t="shared" si="32"/>
        <v>22.585223484896328</v>
      </c>
      <c r="N26" s="392">
        <f t="shared" si="33"/>
        <v>2.7616810492775894</v>
      </c>
      <c r="O26" s="392">
        <f t="shared" si="34"/>
        <v>21.094542482779886</v>
      </c>
      <c r="P26" s="392">
        <f t="shared" si="35"/>
        <v>1.0975911862513494</v>
      </c>
      <c r="Q26" s="392">
        <f t="shared" si="36"/>
        <v>10.817714093733274</v>
      </c>
      <c r="R26" s="386">
        <v>8</v>
      </c>
      <c r="S26" s="386">
        <v>0</v>
      </c>
      <c r="T26" s="387" t="s">
        <v>321</v>
      </c>
      <c r="U26" s="388" t="s">
        <v>451</v>
      </c>
      <c r="V26" s="389"/>
      <c r="X26" s="342">
        <f t="shared" si="38"/>
        <v>337.43201496758473</v>
      </c>
      <c r="Y26" s="343">
        <f t="shared" si="38"/>
        <v>44.176336221382961</v>
      </c>
      <c r="Z26" s="342">
        <f t="shared" si="39"/>
        <v>9.9768677243654391</v>
      </c>
      <c r="AA26" s="174">
        <f t="shared" si="39"/>
        <v>1.306163741072913</v>
      </c>
      <c r="AB26" s="344">
        <f t="shared" si="39"/>
        <v>10.681899710220598</v>
      </c>
      <c r="AC26" s="174">
        <f t="shared" si="39"/>
        <v>1.3984659787753986</v>
      </c>
      <c r="AD26" s="315"/>
      <c r="AE26" s="315"/>
    </row>
    <row r="27" spans="2:31" s="35" customFormat="1" x14ac:dyDescent="0.3">
      <c r="B27" s="382" t="s">
        <v>465</v>
      </c>
      <c r="C27" s="383" t="s">
        <v>468</v>
      </c>
      <c r="D27" s="384" t="s">
        <v>80</v>
      </c>
      <c r="E27" s="385" t="s">
        <v>320</v>
      </c>
      <c r="F27" s="384">
        <v>250</v>
      </c>
      <c r="G27" s="384">
        <v>250</v>
      </c>
      <c r="H27" s="173">
        <v>3.3418867340623062</v>
      </c>
      <c r="I27" s="173">
        <v>8.156883445945935</v>
      </c>
      <c r="J27" s="173">
        <f t="shared" si="29"/>
        <v>2.2733923360968067</v>
      </c>
      <c r="K27" s="173">
        <f t="shared" si="30"/>
        <v>5.5489003033645821</v>
      </c>
      <c r="L27" s="173">
        <f t="shared" si="31"/>
        <v>1.6671543798043249</v>
      </c>
      <c r="M27" s="173">
        <f t="shared" si="32"/>
        <v>4.0691935558006938</v>
      </c>
      <c r="N27" s="173">
        <f t="shared" si="33"/>
        <v>1.5571180384224703</v>
      </c>
      <c r="O27" s="173">
        <f t="shared" si="34"/>
        <v>3.8006166461401247</v>
      </c>
      <c r="P27" s="173">
        <f t="shared" si="35"/>
        <v>0.61885460501405876</v>
      </c>
      <c r="Q27" s="173">
        <f t="shared" si="36"/>
        <v>1.9490341775077562</v>
      </c>
      <c r="R27" s="386">
        <v>18</v>
      </c>
      <c r="S27" s="386">
        <v>0</v>
      </c>
      <c r="T27" s="387" t="s">
        <v>321</v>
      </c>
      <c r="U27" s="388" t="s">
        <v>451</v>
      </c>
      <c r="V27" s="389"/>
      <c r="W27" s="391"/>
      <c r="X27" s="342">
        <f t="shared" si="38"/>
        <v>598.46432843307491</v>
      </c>
      <c r="Y27" s="343">
        <f t="shared" si="38"/>
        <v>245.19168543397822</v>
      </c>
      <c r="Z27" s="342">
        <f t="shared" si="39"/>
        <v>17.694822001704747</v>
      </c>
      <c r="AA27" s="174">
        <f t="shared" si="39"/>
        <v>7.2495937083030437</v>
      </c>
      <c r="AB27" s="344">
        <f t="shared" si="39"/>
        <v>18.945256089825214</v>
      </c>
      <c r="AC27" s="174">
        <f t="shared" si="39"/>
        <v>7.761898330356459</v>
      </c>
      <c r="AD27" s="315"/>
      <c r="AE27" s="315"/>
    </row>
    <row r="28" spans="2:31" s="35" customFormat="1" x14ac:dyDescent="0.3">
      <c r="B28" s="382" t="s">
        <v>469</v>
      </c>
      <c r="C28" s="383" t="s">
        <v>471</v>
      </c>
      <c r="D28" s="384" t="s">
        <v>68</v>
      </c>
      <c r="E28" s="384" t="s">
        <v>320</v>
      </c>
      <c r="F28" s="384">
        <v>250</v>
      </c>
      <c r="G28" s="384">
        <v>250</v>
      </c>
      <c r="H28" s="173">
        <v>0.75665360016505046</v>
      </c>
      <c r="I28" s="173">
        <v>5.1956880544666788</v>
      </c>
      <c r="J28" s="392">
        <f t="shared" si="29"/>
        <v>0.51473034024833364</v>
      </c>
      <c r="K28" s="392">
        <f t="shared" si="30"/>
        <v>3.5344816697052237</v>
      </c>
      <c r="L28" s="392">
        <f t="shared" si="31"/>
        <v>0.37746891618211131</v>
      </c>
      <c r="M28" s="392">
        <f t="shared" si="32"/>
        <v>2.5919532244504975</v>
      </c>
      <c r="N28" s="392">
        <f t="shared" si="33"/>
        <v>0.35255502756735185</v>
      </c>
      <c r="O28" s="392">
        <f t="shared" si="34"/>
        <v>2.4208778559624822</v>
      </c>
      <c r="P28" s="392">
        <f t="shared" si="35"/>
        <v>0.14011802377676802</v>
      </c>
      <c r="Q28" s="392">
        <f t="shared" si="36"/>
        <v>1.2414758235705037</v>
      </c>
      <c r="R28" s="386">
        <v>9</v>
      </c>
      <c r="S28" s="386">
        <v>0</v>
      </c>
      <c r="T28" s="387" t="s">
        <v>321</v>
      </c>
      <c r="U28" s="388" t="s">
        <v>451</v>
      </c>
      <c r="V28" s="389"/>
      <c r="X28" s="342">
        <f t="shared" si="38"/>
        <v>2643.2174505794142</v>
      </c>
      <c r="Y28" s="343">
        <f t="shared" si="38"/>
        <v>384.93458018146816</v>
      </c>
      <c r="Z28" s="342">
        <f t="shared" si="39"/>
        <v>78.152130507529293</v>
      </c>
      <c r="AA28" s="174">
        <f t="shared" si="39"/>
        <v>11.38137822925184</v>
      </c>
      <c r="AB28" s="344">
        <f t="shared" si="39"/>
        <v>83.674881063394679</v>
      </c>
      <c r="AC28" s="174">
        <f t="shared" si="39"/>
        <v>12.185662290785636</v>
      </c>
      <c r="AD28" s="315"/>
      <c r="AE28" s="315"/>
    </row>
    <row r="29" spans="2:31" s="35" customFormat="1" x14ac:dyDescent="0.3">
      <c r="B29" s="382" t="s">
        <v>470</v>
      </c>
      <c r="C29" s="383" t="s">
        <v>472</v>
      </c>
      <c r="D29" s="384" t="s">
        <v>80</v>
      </c>
      <c r="E29" s="384" t="s">
        <v>320</v>
      </c>
      <c r="F29" s="384">
        <v>250</v>
      </c>
      <c r="G29" s="384">
        <v>250</v>
      </c>
      <c r="H29" s="173">
        <v>0.45819579121105847</v>
      </c>
      <c r="I29" s="173">
        <v>0.55605632349907164</v>
      </c>
      <c r="J29" s="392">
        <f t="shared" si="29"/>
        <v>0.31169781715037992</v>
      </c>
      <c r="K29" s="392">
        <f t="shared" si="30"/>
        <v>0.37826960782249774</v>
      </c>
      <c r="L29" s="392">
        <f t="shared" si="31"/>
        <v>0.22857839924361192</v>
      </c>
      <c r="M29" s="392">
        <f t="shared" si="32"/>
        <v>0.27739771240316502</v>
      </c>
      <c r="N29" s="392">
        <f t="shared" si="33"/>
        <v>0.21349165558245198</v>
      </c>
      <c r="O29" s="392">
        <f t="shared" si="34"/>
        <v>0.2590887724811628</v>
      </c>
      <c r="P29" s="392">
        <f t="shared" si="35"/>
        <v>8.4849247731487332E-2</v>
      </c>
      <c r="Q29" s="392">
        <f t="shared" si="36"/>
        <v>0.13286603716982709</v>
      </c>
      <c r="R29" s="386">
        <v>5</v>
      </c>
      <c r="S29" s="386">
        <v>0</v>
      </c>
      <c r="T29" s="387" t="s">
        <v>321</v>
      </c>
      <c r="U29" s="388" t="s">
        <v>451</v>
      </c>
      <c r="V29" s="389"/>
      <c r="W29" s="391"/>
      <c r="X29" s="342">
        <f t="shared" si="38"/>
        <v>4364.946248663251</v>
      </c>
      <c r="Y29" s="343">
        <f t="shared" si="38"/>
        <v>3596.757946056051</v>
      </c>
      <c r="Z29" s="342">
        <f t="shared" si="39"/>
        <v>129.05856414087401</v>
      </c>
      <c r="AA29" s="174">
        <f t="shared" si="39"/>
        <v>106.34550568003679</v>
      </c>
      <c r="AB29" s="344">
        <f t="shared" si="39"/>
        <v>138.17870267349579</v>
      </c>
      <c r="AC29" s="174">
        <f t="shared" si="39"/>
        <v>113.86058808142609</v>
      </c>
      <c r="AD29" s="315"/>
      <c r="AE29" s="315"/>
    </row>
    <row r="30" spans="2:31" s="35" customFormat="1" x14ac:dyDescent="0.3">
      <c r="B30" s="382" t="s">
        <v>476</v>
      </c>
      <c r="C30" s="390" t="s">
        <v>473</v>
      </c>
      <c r="D30" s="384" t="s">
        <v>68</v>
      </c>
      <c r="E30" s="385" t="s">
        <v>320</v>
      </c>
      <c r="F30" s="384">
        <v>250</v>
      </c>
      <c r="G30" s="384">
        <v>250</v>
      </c>
      <c r="H30" s="173">
        <v>0.37832680008252523</v>
      </c>
      <c r="I30" s="173">
        <v>1.6444604910253759</v>
      </c>
      <c r="J30" s="173">
        <f t="shared" si="21"/>
        <v>0.25736517012416682</v>
      </c>
      <c r="K30" s="173">
        <f t="shared" si="22"/>
        <v>1.1186806061397114</v>
      </c>
      <c r="L30" s="173">
        <f t="shared" si="23"/>
        <v>0.18873445809105566</v>
      </c>
      <c r="M30" s="173">
        <f t="shared" si="24"/>
        <v>0.82036577783578857</v>
      </c>
      <c r="N30" s="173">
        <f t="shared" si="25"/>
        <v>0.17627751378367593</v>
      </c>
      <c r="O30" s="173">
        <f t="shared" si="26"/>
        <v>0.76621959324637778</v>
      </c>
      <c r="P30" s="173">
        <f t="shared" si="27"/>
        <v>7.005901188838401E-2</v>
      </c>
      <c r="Q30" s="173">
        <f t="shared" si="28"/>
        <v>0.39293312474173214</v>
      </c>
      <c r="R30" s="386">
        <v>9</v>
      </c>
      <c r="S30" s="386">
        <v>0</v>
      </c>
      <c r="T30" s="387" t="s">
        <v>321</v>
      </c>
      <c r="U30" s="388" t="s">
        <v>451</v>
      </c>
      <c r="V30" s="389"/>
      <c r="W30" s="391"/>
      <c r="X30" s="342">
        <f t="shared" si="8"/>
        <v>5286.4349011588283</v>
      </c>
      <c r="Y30" s="343">
        <f t="shared" si="9"/>
        <v>1216.204348426111</v>
      </c>
      <c r="Z30" s="342">
        <f t="shared" si="10"/>
        <v>156.30426101505859</v>
      </c>
      <c r="AA30" s="174">
        <f t="shared" si="11"/>
        <v>35.95956925193066</v>
      </c>
      <c r="AB30" s="344">
        <f t="shared" si="12"/>
        <v>167.34976212678936</v>
      </c>
      <c r="AC30" s="174">
        <f t="shared" si="13"/>
        <v>38.500712145733765</v>
      </c>
      <c r="AD30" s="315"/>
      <c r="AE30" s="315"/>
    </row>
    <row r="31" spans="2:31" s="35" customFormat="1" x14ac:dyDescent="0.3">
      <c r="B31" s="382" t="s">
        <v>477</v>
      </c>
      <c r="C31" s="383" t="s">
        <v>474</v>
      </c>
      <c r="D31" s="384" t="s">
        <v>68</v>
      </c>
      <c r="E31" s="385" t="s">
        <v>320</v>
      </c>
      <c r="F31" s="384">
        <v>250</v>
      </c>
      <c r="G31" s="384">
        <v>250</v>
      </c>
      <c r="H31" s="173">
        <v>0.99626057355064979</v>
      </c>
      <c r="I31" s="173">
        <v>1.4943908603259746</v>
      </c>
      <c r="J31" s="173">
        <f>IF(H31&lt;&gt;"-", H31*ED_8/AT_AC*Breathing_Ratio,"-")</f>
        <v>0.6777282813269726</v>
      </c>
      <c r="K31" s="173">
        <f>IF(I31&lt;&gt;"-",I31* ED_8/AT_AC*Breathing_Ratio,"-")</f>
        <v>1.016592421990459</v>
      </c>
      <c r="L31" s="173">
        <f>IF(H31&lt;&gt;"-",IF(F31&gt;=EF_I,H31*ED_8*EF_I/AT_ADC_I*Breathing_Ratio,H31*ED_8*F31/AT_ADC_I*Breathing_Ratio),"-")</f>
        <v>0.49700073963977998</v>
      </c>
      <c r="M31" s="173">
        <f>IF(I31&lt;&gt;"-", IF(G31&gt;=EF_I, I31*ED_8*EF_I/AT_ADC_I*Breathing_Ratio, I31*ED_8*G31/AT_ADC_I*Breathing_Ratio),"-")</f>
        <v>0.74550110945966996</v>
      </c>
      <c r="N31" s="173">
        <f>IF(H31&lt;&gt;"-", H31*ED_8*F31*WY_mid/AT_ADC_mid*Breathing_Ratio, "-")</f>
        <v>0.46419745296367992</v>
      </c>
      <c r="O31" s="173">
        <f>IF(I31&lt;&gt;"-", I31*ED_8*G31*WY_high/AT_ADC_high*Breathing_Ratio,"-")</f>
        <v>0.6962961794455198</v>
      </c>
      <c r="P31" s="173">
        <f>IF(H31&lt;&gt;"-",H31*ED_8*F31*WY_mid/AT_LADC*Breathing_Ratio,"-")</f>
        <v>0.1844887313060779</v>
      </c>
      <c r="Q31" s="173">
        <f>IF(I31&lt;&gt;"-",I31*ED_8*G31*WY_high/AT_LADC*Breathing_Ratio,"-")</f>
        <v>0.35707496381821524</v>
      </c>
      <c r="R31" s="386">
        <v>6</v>
      </c>
      <c r="S31" s="386">
        <v>0</v>
      </c>
      <c r="T31" s="387" t="s">
        <v>321</v>
      </c>
      <c r="U31" s="388" t="s">
        <v>451</v>
      </c>
      <c r="V31" s="389"/>
      <c r="W31" s="391"/>
      <c r="X31" s="342">
        <f>X$1/H31</f>
        <v>2007.5069244906942</v>
      </c>
      <c r="Y31" s="343">
        <f>Y$1/I31</f>
        <v>1338.337949660463</v>
      </c>
      <c r="Z31" s="342">
        <f>Z$1/L31</f>
        <v>59.356048486731098</v>
      </c>
      <c r="AA31" s="174">
        <f>AA$1/M31</f>
        <v>39.570698991154067</v>
      </c>
      <c r="AB31" s="344">
        <f>AB$1/N31</f>
        <v>63.550542579793429</v>
      </c>
      <c r="AC31" s="174">
        <f>AC$1/O31</f>
        <v>42.367028386528958</v>
      </c>
      <c r="AD31" s="315"/>
      <c r="AE31" s="315"/>
    </row>
    <row r="32" spans="2:31" s="35" customFormat="1" x14ac:dyDescent="0.3">
      <c r="B32" s="382" t="s">
        <v>478</v>
      </c>
      <c r="C32" s="390" t="s">
        <v>475</v>
      </c>
      <c r="D32" s="384" t="s">
        <v>80</v>
      </c>
      <c r="E32" s="385" t="s">
        <v>320</v>
      </c>
      <c r="F32" s="384">
        <v>250</v>
      </c>
      <c r="G32" s="384">
        <v>250</v>
      </c>
      <c r="H32" s="173">
        <v>0.3108585207344749</v>
      </c>
      <c r="I32" s="173">
        <v>0.73287681168764185</v>
      </c>
      <c r="J32" s="173">
        <f t="shared" si="21"/>
        <v>0.21146838145202373</v>
      </c>
      <c r="K32" s="173">
        <f t="shared" si="22"/>
        <v>0.49855565420928022</v>
      </c>
      <c r="L32" s="173">
        <f t="shared" si="23"/>
        <v>0.15507681306481741</v>
      </c>
      <c r="M32" s="173">
        <f t="shared" si="24"/>
        <v>0.36560747975347213</v>
      </c>
      <c r="N32" s="173">
        <f t="shared" si="25"/>
        <v>0.14484135715892035</v>
      </c>
      <c r="O32" s="173">
        <f t="shared" si="26"/>
        <v>0.34147647548580834</v>
      </c>
      <c r="P32" s="173">
        <f t="shared" si="27"/>
        <v>5.7565154768288863E-2</v>
      </c>
      <c r="Q32" s="173">
        <f t="shared" si="28"/>
        <v>0.17511614127477351</v>
      </c>
      <c r="R32" s="386">
        <v>11</v>
      </c>
      <c r="S32" s="386">
        <v>0</v>
      </c>
      <c r="T32" s="387" t="s">
        <v>321</v>
      </c>
      <c r="U32" s="388" t="s">
        <v>451</v>
      </c>
      <c r="V32" s="389"/>
      <c r="W32" s="391"/>
      <c r="X32" s="342">
        <f t="shared" si="8"/>
        <v>6433.7950115523263</v>
      </c>
      <c r="Y32" s="343">
        <f t="shared" si="9"/>
        <v>2728.9715926397962</v>
      </c>
      <c r="Z32" s="342">
        <f t="shared" si="10"/>
        <v>190.22830955179543</v>
      </c>
      <c r="AA32" s="174">
        <f t="shared" si="11"/>
        <v>80.68762712374415</v>
      </c>
      <c r="AB32" s="344">
        <f t="shared" si="12"/>
        <v>203.67111009345567</v>
      </c>
      <c r="AC32" s="174">
        <f t="shared" si="13"/>
        <v>86.389552773822075</v>
      </c>
      <c r="AD32" s="315"/>
      <c r="AE32" s="315"/>
    </row>
    <row r="33" spans="2:31" s="35" customFormat="1" x14ac:dyDescent="0.3">
      <c r="B33" s="382" t="s">
        <v>479</v>
      </c>
      <c r="C33" s="383" t="s">
        <v>485</v>
      </c>
      <c r="D33" s="384" t="s">
        <v>68</v>
      </c>
      <c r="E33" s="385" t="s">
        <v>320</v>
      </c>
      <c r="F33" s="384">
        <v>250</v>
      </c>
      <c r="G33" s="384">
        <v>250</v>
      </c>
      <c r="H33" s="173">
        <v>1.7402784988137927E-2</v>
      </c>
      <c r="I33" s="173">
        <v>1.743562043151178E-2</v>
      </c>
      <c r="J33" s="173">
        <f t="shared" si="21"/>
        <v>1.1838629243631243E-2</v>
      </c>
      <c r="K33" s="173">
        <f t="shared" si="22"/>
        <v>1.1860966279939987E-2</v>
      </c>
      <c r="L33" s="173">
        <f t="shared" si="23"/>
        <v>8.6816614453295773E-3</v>
      </c>
      <c r="M33" s="173">
        <f t="shared" si="24"/>
        <v>8.6980419386226571E-3</v>
      </c>
      <c r="N33" s="173">
        <f t="shared" si="25"/>
        <v>8.1086501668707154E-3</v>
      </c>
      <c r="O33" s="173">
        <f t="shared" si="26"/>
        <v>8.1239495068082101E-3</v>
      </c>
      <c r="P33" s="173">
        <f t="shared" si="27"/>
        <v>3.2226686560640023E-3</v>
      </c>
      <c r="Q33" s="173">
        <f t="shared" si="28"/>
        <v>4.1661279522093387E-3</v>
      </c>
      <c r="R33" s="386">
        <v>3</v>
      </c>
      <c r="S33" s="386">
        <v>3</v>
      </c>
      <c r="T33" s="387" t="s">
        <v>321</v>
      </c>
      <c r="U33" s="388" t="s">
        <v>451</v>
      </c>
      <c r="V33" s="389"/>
      <c r="W33" s="391"/>
      <c r="X33" s="342">
        <f t="shared" si="8"/>
        <v>114924.13434764829</v>
      </c>
      <c r="Y33" s="343">
        <f t="shared" si="9"/>
        <v>114707.70471610842</v>
      </c>
      <c r="Z33" s="342">
        <f t="shared" si="10"/>
        <v>3397.9671040812059</v>
      </c>
      <c r="AA33" s="174">
        <f t="shared" si="11"/>
        <v>3391.5679193277551</v>
      </c>
      <c r="AB33" s="344">
        <f t="shared" si="12"/>
        <v>3638.0901127696102</v>
      </c>
      <c r="AC33" s="174">
        <f t="shared" si="13"/>
        <v>3631.23871896025</v>
      </c>
      <c r="AD33" s="315"/>
      <c r="AE33" s="315"/>
    </row>
    <row r="34" spans="2:31" s="35" customFormat="1" x14ac:dyDescent="0.3">
      <c r="B34" s="382" t="s">
        <v>480</v>
      </c>
      <c r="C34" s="383" t="s">
        <v>486</v>
      </c>
      <c r="D34" s="384" t="s">
        <v>68</v>
      </c>
      <c r="E34" s="385" t="s">
        <v>320</v>
      </c>
      <c r="F34" s="384">
        <v>250</v>
      </c>
      <c r="G34" s="384">
        <v>250</v>
      </c>
      <c r="H34" s="173">
        <v>0.42877037342686197</v>
      </c>
      <c r="I34" s="173">
        <v>0.63306684547142555</v>
      </c>
      <c r="J34" s="173">
        <f t="shared" si="21"/>
        <v>0.29168052614072243</v>
      </c>
      <c r="K34" s="173">
        <f t="shared" si="22"/>
        <v>0.43065771800777253</v>
      </c>
      <c r="L34" s="173">
        <f t="shared" si="23"/>
        <v>0.21389905250319646</v>
      </c>
      <c r="M34" s="173">
        <f t="shared" si="24"/>
        <v>0.31581565987236654</v>
      </c>
      <c r="N34" s="173">
        <f t="shared" si="25"/>
        <v>0.19978118228816608</v>
      </c>
      <c r="O34" s="173">
        <f t="shared" si="26"/>
        <v>0.29497103973135103</v>
      </c>
      <c r="P34" s="173">
        <f t="shared" si="27"/>
        <v>7.9400213473501888E-2</v>
      </c>
      <c r="Q34" s="173">
        <f t="shared" si="28"/>
        <v>0.15126719986223131</v>
      </c>
      <c r="R34" s="386">
        <v>3</v>
      </c>
      <c r="S34" s="386">
        <v>0</v>
      </c>
      <c r="T34" s="387" t="s">
        <v>321</v>
      </c>
      <c r="U34" s="388" t="s">
        <v>451</v>
      </c>
      <c r="V34" s="389"/>
      <c r="W34" s="391"/>
      <c r="X34" s="342">
        <f t="shared" si="8"/>
        <v>4664.5013833754365</v>
      </c>
      <c r="Y34" s="343">
        <f t="shared" si="9"/>
        <v>3159.2240445172279</v>
      </c>
      <c r="Z34" s="342">
        <f t="shared" si="10"/>
        <v>137.91552442505167</v>
      </c>
      <c r="AA34" s="174">
        <f t="shared" si="11"/>
        <v>93.408920925333803</v>
      </c>
      <c r="AB34" s="344">
        <f t="shared" si="12"/>
        <v>147.6615548177553</v>
      </c>
      <c r="AC34" s="174">
        <f t="shared" si="13"/>
        <v>100.00981800405739</v>
      </c>
      <c r="AD34" s="315"/>
      <c r="AE34" s="315"/>
    </row>
    <row r="35" spans="2:31" s="35" customFormat="1" x14ac:dyDescent="0.3">
      <c r="B35" s="382" t="s">
        <v>481</v>
      </c>
      <c r="C35" s="390" t="s">
        <v>487</v>
      </c>
      <c r="D35" s="384" t="s">
        <v>68</v>
      </c>
      <c r="E35" s="385" t="s">
        <v>320</v>
      </c>
      <c r="F35" s="384">
        <v>250</v>
      </c>
      <c r="G35" s="384">
        <v>250</v>
      </c>
      <c r="H35" s="173">
        <v>1.7330273384020687E-2</v>
      </c>
      <c r="I35" s="173">
        <v>1.733027338402069E-2</v>
      </c>
      <c r="J35" s="173">
        <f t="shared" ref="J35" si="40">IF(H35&lt;&gt;"-", H35*ED_8/AT_AC*Breathing_Ratio,"-")</f>
        <v>1.1789301621782782E-2</v>
      </c>
      <c r="K35" s="173">
        <f t="shared" ref="K35" si="41">IF(I35&lt;&gt;"-",I35* ED_8/AT_AC*Breathing_Ratio,"-")</f>
        <v>1.1789301621782784E-2</v>
      </c>
      <c r="L35" s="173">
        <f t="shared" ref="L35" si="42">IF(H35&lt;&gt;"-",IF(F35&gt;=EF_I,H35*ED_8*EF_I/AT_ADC_I*Breathing_Ratio,H35*ED_8*F35/AT_ADC_I*Breathing_Ratio),"-")</f>
        <v>8.6454878559740385E-3</v>
      </c>
      <c r="M35" s="173">
        <f t="shared" ref="M35" si="43">IF(I35&lt;&gt;"-", IF(G35&gt;=EF_I, I35*ED_8*EF_I/AT_ADC_I*Breathing_Ratio, I35*ED_8*G35/AT_ADC_I*Breathing_Ratio),"-")</f>
        <v>8.6454878559740402E-3</v>
      </c>
      <c r="N35" s="173">
        <f t="shared" ref="N35" si="44">IF(H35&lt;&gt;"-", H35*ED_8*F35*WY_mid/AT_ADC_mid*Breathing_Ratio, "-")</f>
        <v>8.0748641245087533E-3</v>
      </c>
      <c r="O35" s="173">
        <f t="shared" ref="O35" si="45">IF(I35&lt;&gt;"-", I35*ED_8*G35*WY_high/AT_ADC_high*Breathing_Ratio,"-")</f>
        <v>8.074864124508755E-3</v>
      </c>
      <c r="P35" s="173">
        <f t="shared" ref="P35" si="46">IF(H35&lt;&gt;"-",H35*ED_8*F35*WY_mid/AT_LADC*Breathing_Ratio,"-")</f>
        <v>3.2092408699970687E-3</v>
      </c>
      <c r="Q35" s="173">
        <f t="shared" ref="Q35" si="47">IF(I35&lt;&gt;"-",I35*ED_8*G35*WY_high/AT_LADC*Breathing_Ratio,"-")</f>
        <v>4.1409559612865408E-3</v>
      </c>
      <c r="R35" s="386">
        <v>3</v>
      </c>
      <c r="S35" s="386">
        <v>3</v>
      </c>
      <c r="T35" s="387" t="s">
        <v>321</v>
      </c>
      <c r="U35" s="388" t="s">
        <v>451</v>
      </c>
      <c r="V35" s="389"/>
      <c r="W35" s="391"/>
      <c r="X35" s="342"/>
      <c r="Y35" s="343"/>
      <c r="Z35" s="342"/>
      <c r="AA35" s="174"/>
      <c r="AB35" s="344"/>
      <c r="AC35" s="174"/>
      <c r="AD35" s="315"/>
      <c r="AE35" s="315"/>
    </row>
    <row r="36" spans="2:31" s="35" customFormat="1" x14ac:dyDescent="0.3">
      <c r="B36" s="382" t="s">
        <v>482</v>
      </c>
      <c r="C36" s="383" t="s">
        <v>488</v>
      </c>
      <c r="D36" s="384" t="s">
        <v>68</v>
      </c>
      <c r="E36" s="384" t="s">
        <v>320</v>
      </c>
      <c r="F36" s="384">
        <v>250</v>
      </c>
      <c r="G36" s="384">
        <v>250</v>
      </c>
      <c r="H36" s="173">
        <v>1.7330273384020687E-2</v>
      </c>
      <c r="I36" s="173">
        <v>9.7071380959198428E-2</v>
      </c>
      <c r="J36" s="392">
        <f t="shared" ref="J36" si="48">IF(H36&lt;&gt;"-", H36*ED_8/AT_AC*Breathing_Ratio,"-")</f>
        <v>1.1789301621782782E-2</v>
      </c>
      <c r="K36" s="392">
        <f t="shared" ref="K36" si="49">IF(I36&lt;&gt;"-",I36* ED_8/AT_AC*Breathing_Ratio,"-")</f>
        <v>6.6034953033468319E-2</v>
      </c>
      <c r="L36" s="392">
        <f t="shared" si="23"/>
        <v>8.6454878559740385E-3</v>
      </c>
      <c r="M36" s="392">
        <f t="shared" ref="M36" si="50">IF(I36&lt;&gt;"-", IF(G36&gt;=EF_I, I36*ED_8*EF_I/AT_ADC_I*Breathing_Ratio, I36*ED_8*G36/AT_ADC_I*Breathing_Ratio),"-")</f>
        <v>4.8425632224543429E-2</v>
      </c>
      <c r="N36" s="392">
        <f t="shared" ref="N36" si="51">IF(H36&lt;&gt;"-", H36*ED_8*F36*WY_mid/AT_ADC_mid*Breathing_Ratio, "-")</f>
        <v>8.0748641245087533E-3</v>
      </c>
      <c r="O36" s="392">
        <f t="shared" ref="O36" si="52">IF(I36&lt;&gt;"-", I36*ED_8*G36*WY_high/AT_ADC_high*Breathing_Ratio,"-")</f>
        <v>4.5229419885937205E-2</v>
      </c>
      <c r="P36" s="392">
        <f t="shared" ref="P36" si="53">IF(H36&lt;&gt;"-",H36*ED_8*F36*WY_mid/AT_LADC*Breathing_Ratio,"-")</f>
        <v>3.2092408699970687E-3</v>
      </c>
      <c r="Q36" s="392">
        <f t="shared" ref="Q36" si="54">IF(I36&lt;&gt;"-",I36*ED_8*G36*WY_high/AT_LADC*Breathing_Ratio,"-")</f>
        <v>2.3194574300480619E-2</v>
      </c>
      <c r="R36" s="386">
        <v>3</v>
      </c>
      <c r="S36" s="386">
        <v>2</v>
      </c>
      <c r="T36" s="387" t="s">
        <v>321</v>
      </c>
      <c r="U36" s="388" t="s">
        <v>451</v>
      </c>
      <c r="V36" s="389"/>
      <c r="X36" s="342">
        <f t="shared" si="8"/>
        <v>115404.9884662577</v>
      </c>
      <c r="Y36" s="343">
        <f t="shared" si="9"/>
        <v>20603.394947483554</v>
      </c>
      <c r="Z36" s="342">
        <f t="shared" si="10"/>
        <v>3412.1845396631352</v>
      </c>
      <c r="AA36" s="174">
        <f t="shared" si="11"/>
        <v>609.18151493019843</v>
      </c>
      <c r="AB36" s="344">
        <f t="shared" si="12"/>
        <v>3653.3122471326633</v>
      </c>
      <c r="AC36" s="174">
        <f t="shared" si="13"/>
        <v>652.23034198526568</v>
      </c>
      <c r="AD36" s="315"/>
      <c r="AE36" s="315"/>
    </row>
    <row r="37" spans="2:31" s="35" customFormat="1" x14ac:dyDescent="0.3">
      <c r="B37" s="382" t="s">
        <v>483</v>
      </c>
      <c r="C37" s="383" t="s">
        <v>489</v>
      </c>
      <c r="D37" s="384" t="s">
        <v>68</v>
      </c>
      <c r="E37" s="384" t="s">
        <v>320</v>
      </c>
      <c r="F37" s="384">
        <v>250</v>
      </c>
      <c r="G37" s="384">
        <v>250</v>
      </c>
      <c r="H37" s="173">
        <v>2.3834588405199089</v>
      </c>
      <c r="I37" s="173">
        <v>6.4315556014029296</v>
      </c>
      <c r="J37" s="392">
        <f t="shared" ref="J37:J38" si="55">IF(H37&lt;&gt;"-", H37*ED_8/AT_AC*Breathing_Ratio,"-")</f>
        <v>1.6214005717822508</v>
      </c>
      <c r="K37" s="392">
        <f t="shared" ref="K37:K38" si="56">IF(I37&lt;&gt;"-",I37* ED_8/AT_AC*Breathing_Ratio,"-")</f>
        <v>4.3752078921108364</v>
      </c>
      <c r="L37" s="392">
        <f t="shared" si="23"/>
        <v>1.1890270859736507</v>
      </c>
      <c r="M37" s="392">
        <f t="shared" ref="M37:M38" si="57">IF(I37&lt;&gt;"-", IF(G37&gt;=EF_I, I37*ED_8*EF_I/AT_ADC_I*Breathing_Ratio, I37*ED_8*G37/AT_ADC_I*Breathing_Ratio),"-")</f>
        <v>3.2084857875479473</v>
      </c>
      <c r="N37" s="392">
        <f t="shared" ref="N37:N38" si="58">IF(H37&lt;&gt;"-", H37*ED_8*F37*WY_mid/AT_ADC_mid*Breathing_Ratio, "-")</f>
        <v>1.1105483368371583</v>
      </c>
      <c r="O37" s="392">
        <f t="shared" ref="O37:O38" si="59">IF(I37&lt;&gt;"-", I37*ED_8*G37*WY_high/AT_ADC_high*Breathing_Ratio,"-")</f>
        <v>2.9967177343224907</v>
      </c>
      <c r="P37" s="392">
        <f t="shared" ref="P37:P38" si="60">IF(H37&lt;&gt;"-",H37*ED_8*F37*WY_mid/AT_LADC*Breathing_Ratio,"-")</f>
        <v>0.44137177489681934</v>
      </c>
      <c r="Q37" s="392">
        <f t="shared" ref="Q37:Q38" si="61">IF(I37&lt;&gt;"-",I37*ED_8*G37*WY_high/AT_LADC*Breathing_Ratio,"-")</f>
        <v>1.5367783252935849</v>
      </c>
      <c r="R37" s="386">
        <v>6</v>
      </c>
      <c r="S37" s="386">
        <v>1</v>
      </c>
      <c r="T37" s="387" t="s">
        <v>321</v>
      </c>
      <c r="U37" s="388" t="s">
        <v>451</v>
      </c>
      <c r="V37" s="389"/>
      <c r="X37" s="342">
        <f t="shared" si="8"/>
        <v>839.1166509775918</v>
      </c>
      <c r="Y37" s="343">
        <f t="shared" si="9"/>
        <v>310.96675889169575</v>
      </c>
      <c r="Z37" s="342">
        <f t="shared" si="10"/>
        <v>24.810200161120409</v>
      </c>
      <c r="AA37" s="174">
        <f t="shared" si="11"/>
        <v>9.1943682950034429</v>
      </c>
      <c r="AB37" s="344">
        <f t="shared" si="12"/>
        <v>26.563454305839585</v>
      </c>
      <c r="AC37" s="174">
        <f t="shared" si="13"/>
        <v>9.8441036545170224</v>
      </c>
      <c r="AD37" s="315"/>
      <c r="AE37" s="315"/>
    </row>
    <row r="38" spans="2:31" s="35" customFormat="1" x14ac:dyDescent="0.3">
      <c r="B38" s="382" t="s">
        <v>484</v>
      </c>
      <c r="C38" s="383" t="s">
        <v>490</v>
      </c>
      <c r="D38" s="384" t="s">
        <v>80</v>
      </c>
      <c r="E38" s="384" t="s">
        <v>320</v>
      </c>
      <c r="F38" s="384">
        <v>250</v>
      </c>
      <c r="G38" s="384">
        <v>250</v>
      </c>
      <c r="H38" s="173">
        <v>1.733027338402069E-2</v>
      </c>
      <c r="I38" s="173">
        <v>3.929273127847354E-2</v>
      </c>
      <c r="J38" s="392">
        <f t="shared" si="55"/>
        <v>1.1789301621782784E-2</v>
      </c>
      <c r="K38" s="392">
        <f t="shared" si="56"/>
        <v>2.6729749169029617E-2</v>
      </c>
      <c r="L38" s="392">
        <f t="shared" si="23"/>
        <v>8.6454878559740402E-3</v>
      </c>
      <c r="M38" s="392">
        <f t="shared" si="57"/>
        <v>1.960181605728839E-2</v>
      </c>
      <c r="N38" s="392">
        <f t="shared" si="58"/>
        <v>8.074864124508755E-3</v>
      </c>
      <c r="O38" s="392">
        <f t="shared" si="59"/>
        <v>1.8308047376047683E-2</v>
      </c>
      <c r="P38" s="392">
        <f t="shared" si="60"/>
        <v>3.2092408699970691E-3</v>
      </c>
      <c r="Q38" s="392">
        <f t="shared" si="61"/>
        <v>9.3887422441270175E-3</v>
      </c>
      <c r="R38" s="386">
        <v>16</v>
      </c>
      <c r="S38" s="386">
        <v>15</v>
      </c>
      <c r="T38" s="387" t="s">
        <v>321</v>
      </c>
      <c r="U38" s="388" t="s">
        <v>451</v>
      </c>
      <c r="V38" s="389"/>
      <c r="X38" s="342">
        <f t="shared" si="8"/>
        <v>115404.98846625767</v>
      </c>
      <c r="Y38" s="343">
        <f t="shared" si="9"/>
        <v>50899.999438208986</v>
      </c>
      <c r="Z38" s="342">
        <f t="shared" si="10"/>
        <v>3412.1845396631343</v>
      </c>
      <c r="AA38" s="174">
        <f t="shared" si="11"/>
        <v>1504.962597025863</v>
      </c>
      <c r="AB38" s="344">
        <f t="shared" si="12"/>
        <v>3653.3122471326624</v>
      </c>
      <c r="AC38" s="174">
        <f t="shared" si="13"/>
        <v>1611.3132872156912</v>
      </c>
      <c r="AD38" s="315"/>
      <c r="AE38" s="315"/>
    </row>
    <row r="39" spans="2:31" s="35" customFormat="1" x14ac:dyDescent="0.3">
      <c r="B39" s="382" t="s">
        <v>541</v>
      </c>
      <c r="C39" s="383" t="s">
        <v>540</v>
      </c>
      <c r="D39" s="384" t="s">
        <v>80</v>
      </c>
      <c r="E39" s="384" t="s">
        <v>320</v>
      </c>
      <c r="F39" s="384">
        <v>250</v>
      </c>
      <c r="G39" s="384">
        <v>250</v>
      </c>
      <c r="H39" s="173">
        <v>0.31545886953270064</v>
      </c>
      <c r="I39" s="173">
        <v>5.9751988988033826</v>
      </c>
      <c r="J39" s="392">
        <f t="shared" ref="J39" si="62">IF(H39&lt;&gt;"-", H39*ED_8/AT_AC*Breathing_Ratio,"-")</f>
        <v>0.21459787043040862</v>
      </c>
      <c r="K39" s="392">
        <f t="shared" ref="K39" si="63">IF(I39&lt;&gt;"-",I39* ED_8/AT_AC*Breathing_Ratio,"-")</f>
        <v>4.0647611556485597</v>
      </c>
      <c r="L39" s="392">
        <f t="shared" ref="L39" si="64">IF(H39&lt;&gt;"-",IF(F39&gt;=EF_I,H39*ED_8*EF_I/AT_ADC_I*Breathing_Ratio,H39*ED_8*F39/AT_ADC_I*Breathing_Ratio),"-")</f>
        <v>0.15737177164896632</v>
      </c>
      <c r="M39" s="392">
        <f t="shared" ref="M39" si="65">IF(I39&lt;&gt;"-", IF(G39&gt;=EF_I, I39*ED_8*EF_I/AT_ADC_I*Breathing_Ratio, I39*ED_8*G39/AT_ADC_I*Breathing_Ratio),"-")</f>
        <v>2.9808248474756107</v>
      </c>
      <c r="N39" s="392">
        <f t="shared" ref="N39" si="66">IF(H39&lt;&gt;"-", H39*ED_8*F39*WY_mid/AT_ADC_mid*Breathing_Ratio, "-")</f>
        <v>0.14698484276055385</v>
      </c>
      <c r="O39" s="392">
        <f t="shared" ref="O39" si="67">IF(I39&lt;&gt;"-", I39*ED_8*G39*WY_high/AT_ADC_high*Breathing_Ratio,"-")</f>
        <v>2.7840829833209315</v>
      </c>
      <c r="P39" s="392">
        <f t="shared" ref="P39" si="68">IF(H39&lt;&gt;"-",H39*ED_8*F39*WY_mid/AT_LADC*Breathing_Ratio,"-")</f>
        <v>5.8417052892014987E-2</v>
      </c>
      <c r="Q39" s="392">
        <f t="shared" ref="Q39" si="69">IF(I39&lt;&gt;"-",I39*ED_8*G39*WY_high/AT_LADC*Breathing_Ratio,"-")</f>
        <v>1.4277348632415032</v>
      </c>
      <c r="R39" s="386">
        <v>44</v>
      </c>
      <c r="S39" s="386">
        <v>2</v>
      </c>
      <c r="T39" s="387" t="s">
        <v>321</v>
      </c>
      <c r="U39" s="388" t="s">
        <v>451</v>
      </c>
      <c r="V39" s="389"/>
      <c r="X39" s="342"/>
      <c r="Y39" s="343"/>
      <c r="Z39" s="342"/>
      <c r="AA39" s="174"/>
      <c r="AB39" s="344"/>
      <c r="AC39" s="174"/>
      <c r="AD39" s="315"/>
      <c r="AE39" s="315"/>
    </row>
    <row r="40" spans="2:31" s="35" customFormat="1" x14ac:dyDescent="0.3">
      <c r="B40" s="382" t="s">
        <v>491</v>
      </c>
      <c r="C40" s="390" t="s">
        <v>496</v>
      </c>
      <c r="D40" s="384" t="s">
        <v>68</v>
      </c>
      <c r="E40" s="384" t="s">
        <v>320</v>
      </c>
      <c r="F40" s="384">
        <v>250</v>
      </c>
      <c r="G40" s="384">
        <v>250</v>
      </c>
      <c r="H40" s="173">
        <v>3.5310501341035696</v>
      </c>
      <c r="I40" s="173">
        <v>7.1629874148958095</v>
      </c>
      <c r="J40" s="392">
        <f>IF(H40&lt;&gt;"-", H40*ED_8/AT_AC*Breathing_Ratio,"-")</f>
        <v>2.4020749211588908</v>
      </c>
      <c r="K40" s="392">
        <f>IF(I40&lt;&gt;"-",I40* ED_8/AT_AC*Breathing_Ratio,"-")</f>
        <v>4.8727805543508902</v>
      </c>
      <c r="L40" s="392">
        <f>IF(H40&lt;&gt;"-",IF(F40&gt;=EF_I,H40*ED_8*EF_I/AT_ADC_I*Breathing_Ratio,H40*ED_8*F40/AT_ADC_I*Breathing_Ratio),"-")</f>
        <v>1.7615216088498535</v>
      </c>
      <c r="M40" s="392">
        <f>IF(I40&lt;&gt;"-", IF(G40&gt;=EF_I, I40*ED_8*EF_I/AT_ADC_I*Breathing_Ratio, I40*ED_8*G40/AT_ADC_I*Breathing_Ratio),"-")</f>
        <v>3.5733724065239869</v>
      </c>
      <c r="N40" s="392">
        <f>IF(H40&lt;&gt;"-", H40*ED_8*F40*WY_mid/AT_ADC_mid*Breathing_Ratio, "-")</f>
        <v>1.6452567953143089</v>
      </c>
      <c r="O40" s="392">
        <f>IF(I40&lt;&gt;"-", I40*ED_8*G40*WY_high/AT_ADC_high*Breathing_Ratio,"-")</f>
        <v>3.3375209276375966</v>
      </c>
      <c r="P40" s="392">
        <f>IF(H40&lt;&gt;"-",H40*ED_8*F40*WY_mid/AT_LADC*Breathing_Ratio,"-")</f>
        <v>0.65388411095825094</v>
      </c>
      <c r="Q40" s="392">
        <f>IF(I40&lt;&gt;"-",I40*ED_8*G40*WY_high/AT_LADC*Breathing_Ratio,"-")</f>
        <v>1.711549193660306</v>
      </c>
      <c r="R40" s="386">
        <v>9</v>
      </c>
      <c r="S40" s="386">
        <v>0</v>
      </c>
      <c r="T40" s="387" t="s">
        <v>321</v>
      </c>
      <c r="U40" s="388" t="s">
        <v>451</v>
      </c>
      <c r="X40" s="342">
        <f t="shared" ref="X40:X60" si="70">X$1/H40</f>
        <v>566.40373940987433</v>
      </c>
      <c r="Y40" s="343">
        <f t="shared" si="9"/>
        <v>279.21311097669872</v>
      </c>
      <c r="Z40" s="342">
        <f t="shared" ref="Z40:Z60" si="71">Z$1/L40</f>
        <v>16.74688510875627</v>
      </c>
      <c r="AA40" s="174">
        <f t="shared" si="11"/>
        <v>8.2555067437530951</v>
      </c>
      <c r="AB40" s="344">
        <f t="shared" si="12"/>
        <v>17.930331656441716</v>
      </c>
      <c r="AC40" s="174">
        <f t="shared" si="13"/>
        <v>8.8388958869783139</v>
      </c>
      <c r="AD40" s="315"/>
      <c r="AE40" s="315"/>
    </row>
    <row r="41" spans="2:31" s="35" customFormat="1" x14ac:dyDescent="0.3">
      <c r="B41" s="382" t="s">
        <v>492</v>
      </c>
      <c r="C41" s="390" t="s">
        <v>495</v>
      </c>
      <c r="D41" s="384" t="s">
        <v>80</v>
      </c>
      <c r="E41" s="384" t="s">
        <v>320</v>
      </c>
      <c r="F41" s="384">
        <v>250</v>
      </c>
      <c r="G41" s="384">
        <v>250</v>
      </c>
      <c r="H41" s="173">
        <v>0.74</v>
      </c>
      <c r="I41" s="173">
        <v>1.5006963069940169</v>
      </c>
      <c r="J41" s="392">
        <f t="shared" ref="J41" si="72">IF(H41&lt;&gt;"-", H41*ED_8/AT_AC*Breathing_Ratio,"-")</f>
        <v>0.50340136054421769</v>
      </c>
      <c r="K41" s="392">
        <f t="shared" ref="K41" si="73">IF(I41&lt;&gt;"-",I41* ED_8/AT_AC*Breathing_Ratio,"-")</f>
        <v>1.0208818414925285</v>
      </c>
      <c r="L41" s="392">
        <f t="shared" ref="L41" si="74">IF(H41&lt;&gt;"-",IF(F41&gt;=EF_I,H41*ED_8*EF_I/AT_ADC_I*Breathing_Ratio,H41*ED_8*F41/AT_ADC_I*Breathing_Ratio),"-")</f>
        <v>0.36916099773242633</v>
      </c>
      <c r="M41" s="392">
        <f t="shared" ref="M41" si="75">IF(I41&lt;&gt;"-", IF(G41&gt;=EF_I, I41*ED_8*EF_I/AT_ADC_I*Breathing_Ratio, I41*ED_8*G41/AT_ADC_I*Breathing_Ratio),"-")</f>
        <v>0.74864668376118759</v>
      </c>
      <c r="N41" s="392">
        <f t="shared" ref="N41" si="76">IF(H41&lt;&gt;"-", H41*ED_8*F41*WY_mid/AT_ADC_mid*Breathing_Ratio, "-")</f>
        <v>0.34479545242754633</v>
      </c>
      <c r="O41" s="392">
        <f t="shared" ref="O41" si="77">IF(I41&lt;&gt;"-", I41*ED_8*G41*WY_high/AT_ADC_high*Breathing_Ratio,"-")</f>
        <v>0.69923413800858114</v>
      </c>
      <c r="P41" s="392">
        <f t="shared" ref="P41" si="78">IF(H41&lt;&gt;"-",H41*ED_8*F41*WY_mid/AT_LADC*Breathing_Ratio,"-")</f>
        <v>0.13703409006735817</v>
      </c>
      <c r="Q41" s="392">
        <f t="shared" ref="Q41" si="79">IF(I41&lt;&gt;"-",I41*ED_8*G41*WY_high/AT_LADC*Breathing_Ratio,"-")</f>
        <v>0.3585816092351698</v>
      </c>
      <c r="R41" s="386">
        <v>3</v>
      </c>
      <c r="S41" s="386">
        <v>0</v>
      </c>
      <c r="T41" s="387" t="s">
        <v>321</v>
      </c>
      <c r="U41" s="388" t="s">
        <v>451</v>
      </c>
      <c r="X41" s="342">
        <f t="shared" si="70"/>
        <v>2702.7027027027029</v>
      </c>
      <c r="Y41" s="343">
        <f t="shared" si="9"/>
        <v>1332.7146809644103</v>
      </c>
      <c r="Z41" s="342">
        <f t="shared" si="71"/>
        <v>79.910933660933651</v>
      </c>
      <c r="AA41" s="174">
        <f t="shared" si="11"/>
        <v>39.40443555001476</v>
      </c>
      <c r="AB41" s="344">
        <f t="shared" si="12"/>
        <v>85.557972972972976</v>
      </c>
      <c r="AC41" s="174">
        <f t="shared" si="13"/>
        <v>42.189015662215809</v>
      </c>
      <c r="AD41" s="315"/>
      <c r="AE41" s="315"/>
    </row>
    <row r="42" spans="2:31" s="35" customFormat="1" x14ac:dyDescent="0.3">
      <c r="B42" s="382" t="s">
        <v>493</v>
      </c>
      <c r="C42" s="390" t="s">
        <v>500</v>
      </c>
      <c r="D42" s="384" t="s">
        <v>68</v>
      </c>
      <c r="E42" s="384" t="s">
        <v>320</v>
      </c>
      <c r="F42" s="384">
        <v>250</v>
      </c>
      <c r="G42" s="384">
        <v>250</v>
      </c>
      <c r="H42" s="392">
        <v>1.322987801733031</v>
      </c>
      <c r="I42" s="392">
        <v>2.2031808657416958</v>
      </c>
      <c r="J42" s="392">
        <f t="shared" ref="J42" si="80">IF(H42&lt;&gt;"-", H42*ED_8/AT_AC*Breathing_Ratio,"-")</f>
        <v>0.89999170185920474</v>
      </c>
      <c r="K42" s="392">
        <f t="shared" ref="K42" si="81">IF(I42&lt;&gt;"-",I42* ED_8/AT_AC*Breathing_Ratio,"-")</f>
        <v>1.4987624937018338</v>
      </c>
      <c r="L42" s="392">
        <f t="shared" ref="L42" si="82">IF(H42&lt;&gt;"-",IF(F42&gt;=EF_I,H42*ED_8*EF_I/AT_ADC_I*Breathing_Ratio,H42*ED_8*F42/AT_ADC_I*Breathing_Ratio),"-")</f>
        <v>0.65999391469675006</v>
      </c>
      <c r="M42" s="392">
        <f t="shared" ref="M42" si="83">IF(I42&lt;&gt;"-", IF(G42&gt;=EF_I, I42*ED_8*EF_I/AT_ADC_I*Breathing_Ratio, I42*ED_8*G42/AT_ADC_I*Breathing_Ratio),"-")</f>
        <v>1.0990924953813448</v>
      </c>
      <c r="N42" s="392">
        <f t="shared" ref="N42" si="84">IF(H42&lt;&gt;"-", H42*ED_8*F42*WY_mid/AT_ADC_mid*Breathing_Ratio, "-")</f>
        <v>0.61643267250630462</v>
      </c>
      <c r="O42" s="392">
        <f t="shared" ref="O42" si="85">IF(I42&lt;&gt;"-", I42*ED_8*G42*WY_high/AT_ADC_high*Breathing_Ratio,"-")</f>
        <v>1.0265496532204341</v>
      </c>
      <c r="P42" s="392">
        <f t="shared" ref="P42" si="86">IF(H42&lt;&gt;"-",H42*ED_8*F42*WY_mid/AT_LADC*Breathing_Ratio,"-")</f>
        <v>0.2449924724063518</v>
      </c>
      <c r="Q42" s="392">
        <f t="shared" ref="Q42" si="87">IF(I42&lt;&gt;"-",I42*ED_8*G42*WY_high/AT_LADC*Breathing_Ratio,"-")</f>
        <v>0.52643571960022262</v>
      </c>
      <c r="R42" s="386">
        <v>8</v>
      </c>
      <c r="S42" s="386">
        <v>0</v>
      </c>
      <c r="T42" s="387" t="s">
        <v>321</v>
      </c>
      <c r="U42" s="388" t="s">
        <v>451</v>
      </c>
      <c r="X42" s="342">
        <f t="shared" si="70"/>
        <v>1511.7297358147412</v>
      </c>
      <c r="Y42" s="343">
        <f t="shared" si="9"/>
        <v>907.7783994491549</v>
      </c>
      <c r="Z42" s="342">
        <f t="shared" si="71"/>
        <v>44.697381813822446</v>
      </c>
      <c r="AA42" s="174">
        <f t="shared" si="11"/>
        <v>26.840325199167683</v>
      </c>
      <c r="AB42" s="344">
        <f t="shared" si="12"/>
        <v>47.855996795332558</v>
      </c>
      <c r="AC42" s="174">
        <f t="shared" si="13"/>
        <v>28.7370415132422</v>
      </c>
      <c r="AD42" s="315"/>
      <c r="AE42" s="315"/>
    </row>
    <row r="43" spans="2:31" s="35" customFormat="1" x14ac:dyDescent="0.3">
      <c r="B43" s="382" t="s">
        <v>494</v>
      </c>
      <c r="C43" s="390" t="s">
        <v>501</v>
      </c>
      <c r="D43" s="384" t="s">
        <v>68</v>
      </c>
      <c r="E43" s="384" t="s">
        <v>320</v>
      </c>
      <c r="F43" s="384">
        <v>250</v>
      </c>
      <c r="G43" s="384">
        <v>250</v>
      </c>
      <c r="H43" s="393">
        <v>11.349804002475759</v>
      </c>
      <c r="I43" s="393">
        <v>18.386682484010731</v>
      </c>
      <c r="J43" s="392">
        <f t="shared" ref="J43" si="88">IF(H43&lt;&gt;"-", H43*ED_8/AT_AC*Breathing_Ratio,"-")</f>
        <v>7.7209551037250064</v>
      </c>
      <c r="K43" s="392">
        <f t="shared" ref="K43" si="89">IF(I43&lt;&gt;"-",I43* ED_8/AT_AC*Breathing_Ratio,"-")</f>
        <v>12.50794726803451</v>
      </c>
      <c r="L43" s="392">
        <f t="shared" ref="L43" si="90">IF(H43&lt;&gt;"-",IF(F43&gt;=EF_I,H43*ED_8*EF_I/AT_ADC_I*Breathing_Ratio,H43*ED_8*F43/AT_ADC_I*Breathing_Ratio),"-")</f>
        <v>5.6620337427316718</v>
      </c>
      <c r="M43" s="392">
        <f t="shared" ref="M43" si="91">IF(I43&lt;&gt;"-", IF(G43&gt;=EF_I, I43*ED_8*EF_I/AT_ADC_I*Breathing_Ratio, I43*ED_8*G43/AT_ADC_I*Breathing_Ratio),"-")</f>
        <v>9.1724946632253079</v>
      </c>
      <c r="N43" s="392">
        <f t="shared" ref="N43" si="92">IF(H43&lt;&gt;"-", H43*ED_8*F43*WY_mid/AT_ADC_mid*Breathing_Ratio, "-")</f>
        <v>5.288325413510278</v>
      </c>
      <c r="O43" s="392">
        <f t="shared" ref="O43" si="93">IF(I43&lt;&gt;"-", I43*ED_8*G43*WY_high/AT_ADC_high*Breathing_Ratio,"-")</f>
        <v>8.5670871698866495</v>
      </c>
      <c r="P43" s="392">
        <f t="shared" ref="P43" si="94">IF(H43&lt;&gt;"-",H43*ED_8*F43*WY_mid/AT_LADC*Breathing_Ratio,"-")</f>
        <v>2.1017703566515213</v>
      </c>
      <c r="Q43" s="392">
        <f t="shared" ref="Q43" si="95">IF(I43&lt;&gt;"-",I43*ED_8*G43*WY_high/AT_LADC*Breathing_Ratio,"-")</f>
        <v>4.3933780358393077</v>
      </c>
      <c r="R43" s="386">
        <v>3</v>
      </c>
      <c r="S43" s="386">
        <v>0</v>
      </c>
      <c r="T43" s="387" t="s">
        <v>321</v>
      </c>
      <c r="U43" s="388" t="s">
        <v>451</v>
      </c>
      <c r="X43" s="342">
        <f t="shared" si="70"/>
        <v>176.21449670529424</v>
      </c>
      <c r="Y43" s="343">
        <f t="shared" si="9"/>
        <v>108.77438068228039</v>
      </c>
      <c r="Z43" s="342">
        <f t="shared" si="71"/>
        <v>5.2101420338352842</v>
      </c>
      <c r="AA43" s="174">
        <f t="shared" si="11"/>
        <v>3.2161370579230151</v>
      </c>
      <c r="AB43" s="344">
        <f t="shared" si="12"/>
        <v>5.5783254042263124</v>
      </c>
      <c r="AC43" s="174">
        <f t="shared" si="13"/>
        <v>3.4434107433495758</v>
      </c>
      <c r="AD43" s="315"/>
      <c r="AE43" s="315"/>
    </row>
    <row r="44" spans="2:31" s="35" customFormat="1" x14ac:dyDescent="0.3">
      <c r="B44" s="382" t="s">
        <v>542</v>
      </c>
      <c r="C44" s="390" t="s">
        <v>543</v>
      </c>
      <c r="D44" s="384" t="s">
        <v>80</v>
      </c>
      <c r="E44" s="384" t="s">
        <v>320</v>
      </c>
      <c r="F44" s="384">
        <v>250</v>
      </c>
      <c r="G44" s="384">
        <v>250</v>
      </c>
      <c r="H44" s="392">
        <v>0.73647617082731598</v>
      </c>
      <c r="I44" s="392">
        <v>1.45025273364968</v>
      </c>
      <c r="J44" s="392">
        <f t="shared" ref="J44" si="96">IF(H44&lt;&gt;"-", H44*ED_8/AT_AC*Breathing_Ratio,"-")</f>
        <v>0.50100419784171157</v>
      </c>
      <c r="K44" s="392">
        <f t="shared" ref="K44" si="97">IF(I44&lt;&gt;"-",I44* ED_8/AT_AC*Breathing_Ratio,"-")</f>
        <v>0.98656648547597281</v>
      </c>
      <c r="L44" s="392">
        <f t="shared" ref="L44" si="98">IF(H44&lt;&gt;"-",IF(F44&gt;=EF_I,H44*ED_8*EF_I/AT_ADC_I*Breathing_Ratio,H44*ED_8*F44/AT_ADC_I*Breathing_Ratio),"-")</f>
        <v>0.36740307841725511</v>
      </c>
      <c r="M44" s="392">
        <f t="shared" ref="M44" si="99">IF(I44&lt;&gt;"-", IF(G44&gt;=EF_I, I44*ED_8*EF_I/AT_ADC_I*Breathing_Ratio, I44*ED_8*G44/AT_ADC_I*Breathing_Ratio),"-")</f>
        <v>0.72348208934904668</v>
      </c>
      <c r="N44" s="392">
        <f t="shared" ref="N44" si="100">IF(H44&lt;&gt;"-", H44*ED_8*F44*WY_mid/AT_ADC_mid*Breathing_Ratio, "-")</f>
        <v>0.34315356016555593</v>
      </c>
      <c r="O44" s="392">
        <f t="shared" ref="O44" si="101">IF(I44&lt;&gt;"-", I44*ED_8*G44*WY_high/AT_ADC_high*Breathing_Ratio,"-")</f>
        <v>0.6757304695040911</v>
      </c>
      <c r="P44" s="392">
        <f t="shared" ref="P44" si="102">IF(H44&lt;&gt;"-",H44*ED_8*F44*WY_mid/AT_LADC*Breathing_Ratio,"-")</f>
        <v>0.13638154314272091</v>
      </c>
      <c r="Q44" s="392">
        <f t="shared" ref="Q44" si="103">IF(I44&lt;&gt;"-",I44*ED_8*G44*WY_high/AT_LADC*Breathing_Ratio,"-")</f>
        <v>0.34652844589953391</v>
      </c>
      <c r="R44" s="386">
        <v>8</v>
      </c>
      <c r="S44" s="386">
        <v>0</v>
      </c>
      <c r="T44" s="387" t="s">
        <v>321</v>
      </c>
      <c r="U44" s="388" t="s">
        <v>451</v>
      </c>
      <c r="X44" s="342">
        <f t="shared" si="70"/>
        <v>2715.6343670336437</v>
      </c>
      <c r="Y44" s="343">
        <f t="shared" si="9"/>
        <v>1379.0699742153465</v>
      </c>
      <c r="Z44" s="342">
        <f t="shared" si="71"/>
        <v>80.293284768009528</v>
      </c>
      <c r="AA44" s="174">
        <f t="shared" si="11"/>
        <v>40.77502461262398</v>
      </c>
      <c r="AB44" s="344">
        <f t="shared" si="12"/>
        <v>85.967343558282181</v>
      </c>
      <c r="AC44" s="174">
        <f t="shared" si="13"/>
        <v>43.656459685249395</v>
      </c>
      <c r="AD44" s="315"/>
      <c r="AE44" s="315"/>
    </row>
    <row r="45" spans="2:31" s="35" customFormat="1" x14ac:dyDescent="0.3">
      <c r="B45" s="382" t="s">
        <v>176</v>
      </c>
      <c r="C45" s="390" t="s">
        <v>505</v>
      </c>
      <c r="D45" s="384" t="s">
        <v>68</v>
      </c>
      <c r="E45" s="384" t="s">
        <v>320</v>
      </c>
      <c r="F45" s="384">
        <v>250</v>
      </c>
      <c r="G45" s="384">
        <v>250</v>
      </c>
      <c r="H45" s="173">
        <v>0.89537342686197652</v>
      </c>
      <c r="I45" s="173">
        <v>1.4288142149783372</v>
      </c>
      <c r="J45" s="392">
        <f>IF(H45&lt;&gt;"-", H45*ED_8/AT_AC*Breathing_Ratio,"-")</f>
        <v>0.60909756929386161</v>
      </c>
      <c r="K45" s="392">
        <f>IF(I45&lt;&gt;"-",I45* ED_8/AT_AC*Breathing_Ratio,"-")</f>
        <v>0.97198245916893677</v>
      </c>
      <c r="L45" s="392">
        <f>IF(H45&lt;&gt;"-",IF(F45&gt;=EF_I,H45*ED_8*EF_I/AT_ADC_I*Breathing_Ratio,H45*ED_8*F45/AT_ADC_I*Breathing_Ratio),"-")</f>
        <v>0.44667155081549853</v>
      </c>
      <c r="M45" s="392">
        <f>IF(I45&lt;&gt;"-", IF(G45&gt;=EF_I, I45*ED_8*EF_I/AT_ADC_I*Breathing_Ratio, I45*ED_8*G45/AT_ADC_I*Breathing_Ratio),"-")</f>
        <v>0.71278713672388694</v>
      </c>
      <c r="N45" s="392">
        <f>IF(H45&lt;&gt;"-", H45*ED_8*F45*WY_mid/AT_ADC_mid*Breathing_Ratio, "-")</f>
        <v>0.41719011595469968</v>
      </c>
      <c r="O45" s="392">
        <f>IF(I45&lt;&gt;"-", I45*ED_8*G45*WY_high/AT_ADC_high*Breathing_Ratio,"-")</f>
        <v>0.66574141038968271</v>
      </c>
      <c r="P45" s="392">
        <f>IF(H45&lt;&gt;"-",H45*ED_8*F45*WY_mid/AT_LADC*Breathing_Ratio,"-")</f>
        <v>0.1658063281358422</v>
      </c>
      <c r="Q45" s="392">
        <f>IF(I45&lt;&gt;"-",I45*ED_8*G45*WY_high/AT_LADC*Breathing_Ratio,"-")</f>
        <v>0.34140585148188857</v>
      </c>
      <c r="R45" s="386">
        <v>2</v>
      </c>
      <c r="S45" s="386">
        <v>0</v>
      </c>
      <c r="T45" s="387" t="s">
        <v>321</v>
      </c>
      <c r="U45" s="388" t="s">
        <v>451</v>
      </c>
      <c r="X45" s="342">
        <f t="shared" si="70"/>
        <v>2233.7048878135888</v>
      </c>
      <c r="Y45" s="343">
        <f t="shared" si="9"/>
        <v>1399.7621097507927</v>
      </c>
      <c r="Z45" s="342">
        <f t="shared" si="71"/>
        <v>66.044053950024733</v>
      </c>
      <c r="AA45" s="174">
        <f t="shared" si="11"/>
        <v>41.386829924552138</v>
      </c>
      <c r="AB45" s="344">
        <f t="shared" si="12"/>
        <v>70.711167095826497</v>
      </c>
      <c r="AC45" s="174">
        <f t="shared" si="13"/>
        <v>44.311499239220488</v>
      </c>
      <c r="AD45" s="315"/>
      <c r="AE45" s="315"/>
    </row>
    <row r="46" spans="2:31" s="35" customFormat="1" x14ac:dyDescent="0.3">
      <c r="B46" s="382" t="s">
        <v>179</v>
      </c>
      <c r="C46" s="390" t="s">
        <v>506</v>
      </c>
      <c r="D46" s="384" t="s">
        <v>68</v>
      </c>
      <c r="E46" s="384" t="s">
        <v>320</v>
      </c>
      <c r="F46" s="384">
        <v>250</v>
      </c>
      <c r="G46" s="384">
        <v>250</v>
      </c>
      <c r="H46" s="173">
        <v>8.0762262739839077</v>
      </c>
      <c r="I46" s="173">
        <v>28.159599365586956</v>
      </c>
      <c r="J46" s="392">
        <f>IF(H46&lt;&gt;"-", H46*ED_8/AT_AC*Breathing_Ratio,"-")</f>
        <v>5.4940314789006175</v>
      </c>
      <c r="K46" s="392">
        <f>IF(I46&lt;&gt;"-",I46* ED_8/AT_AC*Breathing_Ratio,"-")</f>
        <v>19.156190044616977</v>
      </c>
      <c r="L46" s="392">
        <f>IF(H46&lt;&gt;"-",IF(F46&gt;=EF_I,H46*ED_8*EF_I/AT_ADC_I*Breathing_Ratio,H46*ED_8*F46/AT_ADC_I*Breathing_Ratio),"-")</f>
        <v>4.0289564178604529</v>
      </c>
      <c r="M46" s="392">
        <f>IF(I46&lt;&gt;"-", IF(G46&gt;=EF_I, I46*ED_8*EF_I/AT_ADC_I*Breathing_Ratio, I46*ED_8*G46/AT_ADC_I*Breathing_Ratio),"-")</f>
        <v>14.047872699385785</v>
      </c>
      <c r="N46" s="392">
        <f>IF(H46&lt;&gt;"-", H46*ED_8*F46*WY_mid/AT_ADC_mid*Breathing_Ratio, "-")</f>
        <v>3.7630352595209708</v>
      </c>
      <c r="O46" s="392">
        <f>IF(I46&lt;&gt;"-", I46*ED_8*G46*WY_high/AT_ADC_high*Breathing_Ratio,"-")</f>
        <v>13.120678112751355</v>
      </c>
      <c r="P46" s="392">
        <f>IF(H46&lt;&gt;"-",H46*ED_8*F46*WY_mid/AT_LADC*Breathing_Ratio,"-")</f>
        <v>1.4955652954506422</v>
      </c>
      <c r="Q46" s="392">
        <f>IF(I46&lt;&gt;"-",I46*ED_8*G46*WY_high/AT_LADC*Breathing_Ratio,"-")</f>
        <v>6.7285528783340274</v>
      </c>
      <c r="R46" s="386">
        <v>14</v>
      </c>
      <c r="S46" s="386">
        <v>0</v>
      </c>
      <c r="T46" s="387" t="s">
        <v>321</v>
      </c>
      <c r="U46" s="388" t="s">
        <v>451</v>
      </c>
      <c r="X46" s="342">
        <f t="shared" si="70"/>
        <v>247.64041176541028</v>
      </c>
      <c r="Y46" s="343">
        <f t="shared" si="9"/>
        <v>71.023737732722964</v>
      </c>
      <c r="Z46" s="342">
        <f t="shared" si="71"/>
        <v>7.3219953110502383</v>
      </c>
      <c r="AA46" s="174">
        <f t="shared" si="11"/>
        <v>2.0999620818951348</v>
      </c>
      <c r="AB46" s="344">
        <f t="shared" si="12"/>
        <v>7.8394163130311219</v>
      </c>
      <c r="AC46" s="174">
        <f t="shared" si="13"/>
        <v>2.2483594023490578</v>
      </c>
      <c r="AD46" s="315"/>
      <c r="AE46" s="315"/>
    </row>
    <row r="47" spans="2:31" s="35" customFormat="1" x14ac:dyDescent="0.3">
      <c r="B47" s="382" t="s">
        <v>180</v>
      </c>
      <c r="C47" s="390" t="s">
        <v>507</v>
      </c>
      <c r="D47" s="384" t="s">
        <v>68</v>
      </c>
      <c r="E47" s="384" t="s">
        <v>320</v>
      </c>
      <c r="F47" s="384">
        <v>250</v>
      </c>
      <c r="G47" s="384">
        <v>250</v>
      </c>
      <c r="H47" s="173">
        <v>5.609220265112441</v>
      </c>
      <c r="I47" s="173">
        <v>17.106676810398184</v>
      </c>
      <c r="J47" s="392">
        <f t="shared" ref="J47" si="104">IF(H47&lt;&gt;"-", H47*ED_8/AT_AC*Breathing_Ratio,"-")</f>
        <v>3.8157960987159463</v>
      </c>
      <c r="K47" s="392">
        <f t="shared" ref="K47" si="105">IF(I47&lt;&gt;"-",I47* ED_8/AT_AC*Breathing_Ratio,"-")</f>
        <v>11.637195109114412</v>
      </c>
      <c r="L47" s="392">
        <f t="shared" ref="L47" si="106">IF(H47&lt;&gt;"-",IF(F47&gt;=EF_I,H47*ED_8*EF_I/AT_ADC_I*Breathing_Ratio,H47*ED_8*F47/AT_ADC_I*Breathing_Ratio),"-")</f>
        <v>2.7982504723916941</v>
      </c>
      <c r="M47" s="392">
        <f t="shared" ref="M47" si="107">IF(I47&lt;&gt;"-", IF(G47&gt;=EF_I, I47*ED_8*EF_I/AT_ADC_I*Breathing_Ratio, I47*ED_8*G47/AT_ADC_I*Breathing_Ratio),"-")</f>
        <v>8.5339430800172345</v>
      </c>
      <c r="N47" s="392">
        <f t="shared" ref="N47" si="108">IF(H47&lt;&gt;"-", H47*ED_8*F47*WY_mid/AT_ADC_mid*Breathing_Ratio, "-")</f>
        <v>2.613558971723251</v>
      </c>
      <c r="O47" s="392">
        <f t="shared" ref="O47" si="109">IF(I47&lt;&gt;"-", I47*ED_8*G47*WY_high/AT_ADC_high*Breathing_Ratio,"-")</f>
        <v>7.9706815815852137</v>
      </c>
      <c r="P47" s="392">
        <f t="shared" ref="P47" si="110">IF(H47&lt;&gt;"-",H47*ED_8*F47*WY_mid/AT_LADC*Breathing_Ratio,"-")</f>
        <v>1.0387221554284716</v>
      </c>
      <c r="Q47" s="392">
        <f t="shared" ref="Q47" si="111">IF(I47&lt;&gt;"-",I47*ED_8*G47*WY_high/AT_LADC*Breathing_Ratio,"-")</f>
        <v>4.0875290161975455</v>
      </c>
      <c r="R47" s="386">
        <v>6</v>
      </c>
      <c r="S47" s="386">
        <v>0</v>
      </c>
      <c r="T47" s="387" t="s">
        <v>321</v>
      </c>
      <c r="U47" s="388" t="s">
        <v>451</v>
      </c>
      <c r="X47" s="342">
        <f t="shared" si="70"/>
        <v>356.5557966121176</v>
      </c>
      <c r="Y47" s="343">
        <f t="shared" si="9"/>
        <v>116.91341469573523</v>
      </c>
      <c r="Z47" s="342">
        <f t="shared" si="71"/>
        <v>10.542301445512145</v>
      </c>
      <c r="AA47" s="174">
        <f t="shared" si="11"/>
        <v>3.4567842465549261</v>
      </c>
      <c r="AB47" s="344">
        <f t="shared" si="12"/>
        <v>11.28729074766167</v>
      </c>
      <c r="AC47" s="174">
        <f t="shared" si="13"/>
        <v>3.7010636666448069</v>
      </c>
      <c r="AD47" s="315"/>
      <c r="AE47" s="315"/>
    </row>
    <row r="48" spans="2:31" s="35" customFormat="1" x14ac:dyDescent="0.3">
      <c r="B48" s="382" t="s">
        <v>503</v>
      </c>
      <c r="C48" s="390" t="s">
        <v>508</v>
      </c>
      <c r="D48" s="384" t="s">
        <v>68</v>
      </c>
      <c r="E48" s="384" t="s">
        <v>320</v>
      </c>
      <c r="F48" s="384">
        <v>250</v>
      </c>
      <c r="G48" s="384">
        <v>250</v>
      </c>
      <c r="H48" s="173">
        <v>6.0687296910460073</v>
      </c>
      <c r="I48" s="173">
        <v>22.147093240664326</v>
      </c>
      <c r="J48" s="392">
        <f t="shared" ref="J48:J53" si="112">IF(H48&lt;&gt;"-", H48*ED_8/AT_AC*Breathing_Ratio,"-")</f>
        <v>4.1283875449292564</v>
      </c>
      <c r="K48" s="392">
        <f t="shared" ref="K48:K53" si="113">IF(I48&lt;&gt;"-",I48* ED_8/AT_AC*Breathing_Ratio,"-")</f>
        <v>15.066049823581174</v>
      </c>
      <c r="L48" s="392">
        <f t="shared" ref="L48:L60" si="114">IF(H48&lt;&gt;"-",IF(F48&gt;=EF_I,H48*ED_8*EF_I/AT_ADC_I*Breathing_Ratio,H48*ED_8*F48/AT_ADC_I*Breathing_Ratio),"-")</f>
        <v>3.0274841996147881</v>
      </c>
      <c r="M48" s="392">
        <f t="shared" ref="M48:M53" si="115">IF(I48&lt;&gt;"-", IF(G48&gt;=EF_I, I48*ED_8*EF_I/AT_ADC_I*Breathing_Ratio, I48*ED_8*G48/AT_ADC_I*Breathing_Ratio),"-")</f>
        <v>11.048436537292861</v>
      </c>
      <c r="N48" s="392">
        <f t="shared" ref="N48:N53" si="116">IF(H48&lt;&gt;"-", H48*ED_8*F48*WY_mid/AT_ADC_mid*Breathing_Ratio, "-")</f>
        <v>2.8276627020063403</v>
      </c>
      <c r="O48" s="392">
        <f t="shared" ref="O48:O53" si="117">IF(I48&lt;&gt;"-", I48*ED_8*G48*WY_high/AT_ADC_high*Breathing_Ratio,"-")</f>
        <v>10.319212207932312</v>
      </c>
      <c r="P48" s="392">
        <f t="shared" ref="P48:P53" si="118">IF(H48&lt;&gt;"-",H48*ED_8*F48*WY_mid/AT_LADC*Breathing_Ratio,"-")</f>
        <v>1.1238146636179045</v>
      </c>
      <c r="Q48" s="392">
        <f t="shared" ref="Q48:Q53" si="119">IF(I48&lt;&gt;"-",I48*ED_8*G48*WY_high/AT_LADC*Breathing_Ratio,"-")</f>
        <v>5.2919036963755435</v>
      </c>
      <c r="R48" s="386">
        <v>22</v>
      </c>
      <c r="S48" s="386">
        <v>0</v>
      </c>
      <c r="T48" s="387" t="s">
        <v>337</v>
      </c>
      <c r="U48" s="388" t="s">
        <v>451</v>
      </c>
      <c r="X48" s="342">
        <f t="shared" si="70"/>
        <v>329.55826042983301</v>
      </c>
      <c r="Y48" s="343">
        <f t="shared" si="9"/>
        <v>90.305304550205975</v>
      </c>
      <c r="Z48" s="342">
        <f t="shared" si="71"/>
        <v>9.7440640660498019</v>
      </c>
      <c r="AA48" s="174">
        <f t="shared" si="11"/>
        <v>2.6700610444225101</v>
      </c>
      <c r="AB48" s="344">
        <f t="shared" si="12"/>
        <v>10.432644593383987</v>
      </c>
      <c r="AC48" s="174">
        <f t="shared" si="13"/>
        <v>2.8587453582283677</v>
      </c>
      <c r="AD48" s="315"/>
      <c r="AE48" s="315"/>
    </row>
    <row r="49" spans="2:31" s="35" customFormat="1" x14ac:dyDescent="0.3">
      <c r="B49" s="382" t="s">
        <v>504</v>
      </c>
      <c r="C49" s="390" t="s">
        <v>509</v>
      </c>
      <c r="D49" s="384" t="s">
        <v>80</v>
      </c>
      <c r="E49" s="384" t="s">
        <v>320</v>
      </c>
      <c r="F49" s="384">
        <v>250</v>
      </c>
      <c r="G49" s="384">
        <v>250</v>
      </c>
      <c r="H49" s="173">
        <v>6.0687296910460073</v>
      </c>
      <c r="I49" s="173">
        <v>6.0687296910460073</v>
      </c>
      <c r="J49" s="392">
        <f t="shared" si="112"/>
        <v>4.1283875449292564</v>
      </c>
      <c r="K49" s="392">
        <f t="shared" si="113"/>
        <v>4.1283875449292564</v>
      </c>
      <c r="L49" s="392">
        <f t="shared" si="114"/>
        <v>3.0274841996147881</v>
      </c>
      <c r="M49" s="392">
        <f t="shared" si="115"/>
        <v>3.0274841996147881</v>
      </c>
      <c r="N49" s="392">
        <f t="shared" si="116"/>
        <v>2.8276627020063403</v>
      </c>
      <c r="O49" s="392">
        <f t="shared" si="117"/>
        <v>2.8276627020063398</v>
      </c>
      <c r="P49" s="392">
        <f t="shared" si="118"/>
        <v>1.1238146636179045</v>
      </c>
      <c r="Q49" s="392">
        <f t="shared" si="119"/>
        <v>1.4500834369263282</v>
      </c>
      <c r="R49" s="386">
        <v>22</v>
      </c>
      <c r="S49" s="386">
        <v>0</v>
      </c>
      <c r="T49" s="387" t="s">
        <v>330</v>
      </c>
      <c r="U49" s="388" t="s">
        <v>451</v>
      </c>
      <c r="X49" s="342">
        <f t="shared" si="70"/>
        <v>329.55826042983301</v>
      </c>
      <c r="Y49" s="343">
        <f t="shared" si="9"/>
        <v>329.55826042983301</v>
      </c>
      <c r="Z49" s="342">
        <f t="shared" si="71"/>
        <v>9.7440640660498019</v>
      </c>
      <c r="AA49" s="174">
        <f t="shared" si="11"/>
        <v>9.7440640660498019</v>
      </c>
      <c r="AB49" s="344">
        <f t="shared" si="12"/>
        <v>10.432644593383987</v>
      </c>
      <c r="AC49" s="174">
        <f t="shared" si="13"/>
        <v>10.432644593383987</v>
      </c>
      <c r="AD49" s="315"/>
      <c r="AE49" s="315"/>
    </row>
    <row r="50" spans="2:31" s="35" customFormat="1" x14ac:dyDescent="0.3">
      <c r="B50" s="382" t="s">
        <v>183</v>
      </c>
      <c r="C50" s="390" t="s">
        <v>512</v>
      </c>
      <c r="D50" s="384" t="s">
        <v>68</v>
      </c>
      <c r="E50" s="384" t="s">
        <v>320</v>
      </c>
      <c r="F50" s="384">
        <v>250</v>
      </c>
      <c r="G50" s="384">
        <v>250</v>
      </c>
      <c r="H50" s="173">
        <v>0.18733219323808542</v>
      </c>
      <c r="I50" s="173">
        <v>1.0013890035073238</v>
      </c>
      <c r="J50" s="392">
        <f t="shared" si="112"/>
        <v>0.12743686614835745</v>
      </c>
      <c r="K50" s="392">
        <f t="shared" si="113"/>
        <v>0.68121700918865569</v>
      </c>
      <c r="L50" s="392">
        <f t="shared" si="114"/>
        <v>9.3453701842128797E-2</v>
      </c>
      <c r="M50" s="392">
        <f t="shared" si="115"/>
        <v>0.49955914007168084</v>
      </c>
      <c r="N50" s="392">
        <f t="shared" si="116"/>
        <v>8.7285524759148927E-2</v>
      </c>
      <c r="O50" s="392">
        <f t="shared" si="117"/>
        <v>0.46658699259496961</v>
      </c>
      <c r="P50" s="392">
        <f t="shared" si="118"/>
        <v>3.4690400865815596E-2</v>
      </c>
      <c r="Q50" s="392">
        <f t="shared" si="119"/>
        <v>0.23927538081793318</v>
      </c>
      <c r="R50" s="386">
        <v>8</v>
      </c>
      <c r="S50" s="386">
        <v>0</v>
      </c>
      <c r="T50" s="387" t="s">
        <v>321</v>
      </c>
      <c r="U50" s="388" t="s">
        <v>451</v>
      </c>
      <c r="X50" s="342">
        <f t="shared" si="70"/>
        <v>10676.221558235575</v>
      </c>
      <c r="Y50" s="343">
        <f t="shared" si="9"/>
        <v>1997.225846294579</v>
      </c>
      <c r="Z50" s="342">
        <f t="shared" si="71"/>
        <v>315.66432809514924</v>
      </c>
      <c r="AA50" s="174">
        <f t="shared" si="11"/>
        <v>59.052067380384827</v>
      </c>
      <c r="AB50" s="344">
        <f t="shared" si="12"/>
        <v>337.9712739472065</v>
      </c>
      <c r="AC50" s="174">
        <f t="shared" si="13"/>
        <v>63.225080141932033</v>
      </c>
      <c r="AD50" s="315"/>
      <c r="AE50" s="315"/>
    </row>
    <row r="51" spans="2:31" s="35" customFormat="1" x14ac:dyDescent="0.3">
      <c r="B51" s="382" t="s">
        <v>186</v>
      </c>
      <c r="C51" s="390" t="s">
        <v>511</v>
      </c>
      <c r="D51" s="384" t="s">
        <v>68</v>
      </c>
      <c r="E51" s="384" t="s">
        <v>320</v>
      </c>
      <c r="F51" s="384">
        <v>250</v>
      </c>
      <c r="G51" s="384">
        <v>250</v>
      </c>
      <c r="H51" s="173">
        <v>0.69359913348462965</v>
      </c>
      <c r="I51" s="173">
        <v>6.9006808335052572</v>
      </c>
      <c r="J51" s="392">
        <f t="shared" si="112"/>
        <v>0.47183614522763923</v>
      </c>
      <c r="K51" s="392">
        <f t="shared" si="113"/>
        <v>4.6943407030648006</v>
      </c>
      <c r="L51" s="392">
        <f t="shared" si="114"/>
        <v>0.34601317316693547</v>
      </c>
      <c r="M51" s="392">
        <f t="shared" si="115"/>
        <v>3.4425165155808539</v>
      </c>
      <c r="N51" s="392">
        <f t="shared" si="116"/>
        <v>0.32317544193673919</v>
      </c>
      <c r="O51" s="392">
        <f t="shared" si="117"/>
        <v>3.2153018514142473</v>
      </c>
      <c r="P51" s="392">
        <f t="shared" si="118"/>
        <v>0.12844152179537072</v>
      </c>
      <c r="Q51" s="392">
        <f t="shared" si="119"/>
        <v>1.6488727443149984</v>
      </c>
      <c r="R51" s="386">
        <v>8</v>
      </c>
      <c r="S51" s="386">
        <v>0</v>
      </c>
      <c r="T51" s="387" t="s">
        <v>321</v>
      </c>
      <c r="U51" s="388" t="s">
        <v>451</v>
      </c>
      <c r="X51" s="342">
        <f t="shared" si="70"/>
        <v>2883.5099460866331</v>
      </c>
      <c r="Y51" s="343">
        <f t="shared" si="9"/>
        <v>289.8264748442341</v>
      </c>
      <c r="Z51" s="342">
        <f t="shared" si="71"/>
        <v>85.256869644577392</v>
      </c>
      <c r="AA51" s="174">
        <f t="shared" si="11"/>
        <v>8.5693125556501446</v>
      </c>
      <c r="AB51" s="344">
        <f t="shared" si="12"/>
        <v>91.281688432794198</v>
      </c>
      <c r="AC51" s="174">
        <f t="shared" si="13"/>
        <v>9.1748773095827545</v>
      </c>
      <c r="AD51" s="315"/>
      <c r="AE51" s="315"/>
    </row>
    <row r="52" spans="2:31" s="35" customFormat="1" x14ac:dyDescent="0.3">
      <c r="B52" s="382" t="s">
        <v>544</v>
      </c>
      <c r="C52" s="390" t="s">
        <v>545</v>
      </c>
      <c r="D52" s="384" t="s">
        <v>68</v>
      </c>
      <c r="E52" s="384" t="s">
        <v>320</v>
      </c>
      <c r="F52" s="384">
        <v>250</v>
      </c>
      <c r="G52" s="384">
        <v>250</v>
      </c>
      <c r="H52" s="173">
        <v>0.41849774989684341</v>
      </c>
      <c r="I52" s="173">
        <v>3.8367066613369096</v>
      </c>
      <c r="J52" s="392">
        <f t="shared" si="112"/>
        <v>0.28469234686860095</v>
      </c>
      <c r="K52" s="392">
        <f t="shared" si="113"/>
        <v>2.6100045315217075</v>
      </c>
      <c r="L52" s="392">
        <f t="shared" ref="L52" si="120">IF(H52&lt;&gt;"-",IF(F52&gt;=EF_I,H52*ED_8*EF_I/AT_ADC_I*Breathing_Ratio,H52*ED_8*F52/AT_ADC_I*Breathing_Ratio),"-")</f>
        <v>0.20877438770364068</v>
      </c>
      <c r="M52" s="392">
        <f t="shared" si="115"/>
        <v>1.9140033231159188</v>
      </c>
      <c r="N52" s="392">
        <f t="shared" si="116"/>
        <v>0.19499475812917874</v>
      </c>
      <c r="O52" s="392">
        <f t="shared" si="117"/>
        <v>1.7876743366587038</v>
      </c>
      <c r="P52" s="392">
        <f t="shared" si="118"/>
        <v>7.7497916692365901E-2</v>
      </c>
      <c r="Q52" s="392">
        <f t="shared" si="119"/>
        <v>0.91675607008138649</v>
      </c>
      <c r="R52" s="386">
        <v>16</v>
      </c>
      <c r="S52" s="386">
        <v>0</v>
      </c>
      <c r="T52" s="387" t="s">
        <v>321</v>
      </c>
      <c r="U52" s="388"/>
      <c r="X52" s="342"/>
      <c r="Y52" s="343"/>
      <c r="Z52" s="342"/>
      <c r="AA52" s="174"/>
      <c r="AB52" s="344"/>
      <c r="AC52" s="174"/>
      <c r="AD52" s="315"/>
      <c r="AE52" s="315"/>
    </row>
    <row r="53" spans="2:31" s="35" customFormat="1" x14ac:dyDescent="0.3">
      <c r="B53" s="382" t="s">
        <v>510</v>
      </c>
      <c r="C53" s="390" t="s">
        <v>513</v>
      </c>
      <c r="D53" s="384" t="s">
        <v>80</v>
      </c>
      <c r="E53" s="384" t="s">
        <v>320</v>
      </c>
      <c r="F53" s="384">
        <v>250</v>
      </c>
      <c r="G53" s="384">
        <v>250</v>
      </c>
      <c r="H53" s="173">
        <v>7.9146492031153287E-2</v>
      </c>
      <c r="I53" s="173">
        <v>0.11854239735919124</v>
      </c>
      <c r="J53" s="392">
        <f t="shared" si="112"/>
        <v>5.3841151041600879E-2</v>
      </c>
      <c r="K53" s="392">
        <f t="shared" si="113"/>
        <v>8.064108663890561E-2</v>
      </c>
      <c r="L53" s="392">
        <f t="shared" si="114"/>
        <v>3.9483510763840643E-2</v>
      </c>
      <c r="M53" s="392">
        <f t="shared" si="115"/>
        <v>5.9136796868530773E-2</v>
      </c>
      <c r="N53" s="392">
        <f t="shared" si="116"/>
        <v>3.6877500713425257E-2</v>
      </c>
      <c r="O53" s="392">
        <f t="shared" si="117"/>
        <v>5.523362098555179E-2</v>
      </c>
      <c r="P53" s="392">
        <f t="shared" si="118"/>
        <v>1.4656442591233117E-2</v>
      </c>
      <c r="Q53" s="392">
        <f t="shared" si="119"/>
        <v>2.8324933838744508E-2</v>
      </c>
      <c r="R53" s="386">
        <v>2</v>
      </c>
      <c r="S53" s="386">
        <v>0</v>
      </c>
      <c r="T53" s="387" t="s">
        <v>321</v>
      </c>
      <c r="U53" s="388" t="s">
        <v>451</v>
      </c>
      <c r="X53" s="342">
        <f t="shared" si="70"/>
        <v>25269.597535829751</v>
      </c>
      <c r="Y53" s="343">
        <f t="shared" si="9"/>
        <v>16871.600748379238</v>
      </c>
      <c r="Z53" s="342">
        <f t="shared" si="71"/>
        <v>747.147338959948</v>
      </c>
      <c r="AA53" s="174">
        <f t="shared" si="11"/>
        <v>498.84338621827209</v>
      </c>
      <c r="AB53" s="344">
        <f t="shared" si="12"/>
        <v>799.94575091311765</v>
      </c>
      <c r="AC53" s="174">
        <f t="shared" si="13"/>
        <v>534.0949855110299</v>
      </c>
      <c r="AD53" s="315"/>
      <c r="AE53" s="315"/>
    </row>
    <row r="54" spans="2:31" s="35" customFormat="1" x14ac:dyDescent="0.3">
      <c r="B54" s="382" t="s">
        <v>188</v>
      </c>
      <c r="C54" s="390" t="s">
        <v>335</v>
      </c>
      <c r="D54" s="384" t="s">
        <v>68</v>
      </c>
      <c r="E54" s="384" t="s">
        <v>320</v>
      </c>
      <c r="F54" s="384">
        <v>250</v>
      </c>
      <c r="G54" s="384">
        <v>250</v>
      </c>
      <c r="H54" s="173">
        <v>15.290155381510937</v>
      </c>
      <c r="I54" s="173">
        <v>79.847820082258366</v>
      </c>
      <c r="J54" s="392">
        <f t="shared" ref="J54:J56" si="121">IF(H54&lt;&gt;"-", H54*ED_8/AT_AC*Breathing_Ratio,"-")</f>
        <v>10.401466245925809</v>
      </c>
      <c r="K54" s="392">
        <f t="shared" ref="K54:K56" si="122">IF(I54&lt;&gt;"-",I54* ED_8/AT_AC*Breathing_Ratio,"-")</f>
        <v>54.318244953917258</v>
      </c>
      <c r="L54" s="392">
        <f t="shared" si="114"/>
        <v>7.6277419136789257</v>
      </c>
      <c r="M54" s="392">
        <f t="shared" ref="M54:M56" si="123">IF(I54&lt;&gt;"-", IF(G54&gt;=EF_I, I54*ED_8*EF_I/AT_ADC_I*Breathing_Ratio, I54*ED_8*G54/AT_ADC_I*Breathing_Ratio),"-")</f>
        <v>39.833379632872656</v>
      </c>
      <c r="N54" s="392">
        <f t="shared" ref="N54:N56" si="124">IF(H54&lt;&gt;"-", H54*ED_8*F54*WY_mid/AT_ADC_mid*Breathing_Ratio, "-")</f>
        <v>7.1242919492642516</v>
      </c>
      <c r="O54" s="392">
        <f t="shared" ref="O54:O56" si="125">IF(I54&lt;&gt;"-", I54*ED_8*G54*WY_high/AT_ADC_high*Breathing_Ratio,"-")</f>
        <v>37.204277365696754</v>
      </c>
      <c r="P54" s="392">
        <f t="shared" ref="P54:P56" si="126">IF(H54&lt;&gt;"-",H54*ED_8*F54*WY_mid/AT_LADC*Breathing_Ratio,"-")</f>
        <v>2.8314493644511769</v>
      </c>
      <c r="Q54" s="392">
        <f t="shared" ref="Q54:Q56" si="127">IF(I54&lt;&gt;"-",I54*ED_8*G54*WY_high/AT_LADC*Breathing_Ratio,"-")</f>
        <v>19.079116597793206</v>
      </c>
      <c r="R54" s="386">
        <v>27</v>
      </c>
      <c r="S54" s="386">
        <v>2</v>
      </c>
      <c r="T54" s="387" t="s">
        <v>329</v>
      </c>
      <c r="U54" s="388" t="s">
        <v>451</v>
      </c>
      <c r="X54" s="342">
        <f t="shared" si="70"/>
        <v>130.80311809116256</v>
      </c>
      <c r="Y54" s="343">
        <f t="shared" si="9"/>
        <v>25.047646860485628</v>
      </c>
      <c r="Z54" s="342">
        <f t="shared" si="71"/>
        <v>3.8674617381976804</v>
      </c>
      <c r="AA54" s="174">
        <f t="shared" si="11"/>
        <v>0.74058491325338127</v>
      </c>
      <c r="AB54" s="344">
        <f t="shared" si="12"/>
        <v>4.1407623676969836</v>
      </c>
      <c r="AC54" s="174">
        <f t="shared" si="13"/>
        <v>0.79291958045662014</v>
      </c>
      <c r="AD54" s="315"/>
      <c r="AE54" s="315"/>
    </row>
    <row r="55" spans="2:31" s="35" customFormat="1" x14ac:dyDescent="0.3">
      <c r="B55" s="382" t="s">
        <v>192</v>
      </c>
      <c r="C55" s="390" t="s">
        <v>336</v>
      </c>
      <c r="D55" s="384" t="s">
        <v>68</v>
      </c>
      <c r="E55" s="384" t="s">
        <v>320</v>
      </c>
      <c r="F55" s="384">
        <v>250</v>
      </c>
      <c r="G55" s="384">
        <v>250</v>
      </c>
      <c r="H55" s="173">
        <v>2.7005028538074711</v>
      </c>
      <c r="I55" s="173">
        <v>57.235120309193249</v>
      </c>
      <c r="J55" s="392">
        <f t="shared" si="121"/>
        <v>1.8370767712975993</v>
      </c>
      <c r="K55" s="392">
        <f t="shared" si="122"/>
        <v>38.935455992648471</v>
      </c>
      <c r="L55" s="392">
        <f t="shared" si="114"/>
        <v>1.3471896322849062</v>
      </c>
      <c r="M55" s="392">
        <f t="shared" si="123"/>
        <v>28.552667727942211</v>
      </c>
      <c r="N55" s="392">
        <f t="shared" si="124"/>
        <v>1.2582717611627394</v>
      </c>
      <c r="O55" s="392">
        <f t="shared" si="125"/>
        <v>26.668120542909911</v>
      </c>
      <c r="P55" s="392">
        <f t="shared" si="126"/>
        <v>0.50008236661596051</v>
      </c>
      <c r="Q55" s="392">
        <f t="shared" si="127"/>
        <v>13.675959252774312</v>
      </c>
      <c r="R55" s="386">
        <v>271</v>
      </c>
      <c r="S55" s="386">
        <v>0</v>
      </c>
      <c r="T55" s="387" t="s">
        <v>329</v>
      </c>
      <c r="U55" s="388" t="s">
        <v>451</v>
      </c>
      <c r="X55" s="342">
        <f t="shared" si="70"/>
        <v>740.60280928056648</v>
      </c>
      <c r="Y55" s="343">
        <f t="shared" si="9"/>
        <v>34.943579906806889</v>
      </c>
      <c r="Z55" s="342">
        <f t="shared" si="71"/>
        <v>21.897436925762566</v>
      </c>
      <c r="AA55" s="174">
        <f t="shared" si="11"/>
        <v>1.0331784154491004</v>
      </c>
      <c r="AB55" s="344">
        <f t="shared" si="12"/>
        <v>23.444855801849787</v>
      </c>
      <c r="AC55" s="174">
        <f t="shared" si="13"/>
        <v>1.1061896901408368</v>
      </c>
      <c r="AD55" s="315"/>
      <c r="AE55" s="315"/>
    </row>
    <row r="56" spans="2:31" s="35" customFormat="1" x14ac:dyDescent="0.3">
      <c r="B56" s="382" t="s">
        <v>194</v>
      </c>
      <c r="C56" s="390" t="s">
        <v>514</v>
      </c>
      <c r="D56" s="384" t="s">
        <v>80</v>
      </c>
      <c r="E56" s="384" t="s">
        <v>320</v>
      </c>
      <c r="F56" s="384">
        <v>250</v>
      </c>
      <c r="G56" s="384">
        <v>250</v>
      </c>
      <c r="H56" s="173">
        <v>3.5648826867480832</v>
      </c>
      <c r="I56" s="173">
        <v>3.5648826867480832</v>
      </c>
      <c r="J56" s="392">
        <f t="shared" si="121"/>
        <v>2.4250902630939342</v>
      </c>
      <c r="K56" s="392">
        <f t="shared" si="122"/>
        <v>2.4250902630939342</v>
      </c>
      <c r="L56" s="392">
        <f t="shared" si="114"/>
        <v>1.7783995262688852</v>
      </c>
      <c r="M56" s="392">
        <f t="shared" si="123"/>
        <v>1.7783995262688852</v>
      </c>
      <c r="N56" s="392">
        <f t="shared" si="124"/>
        <v>1.6610207281465301</v>
      </c>
      <c r="O56" s="392">
        <f t="shared" si="125"/>
        <v>1.6610207281465301</v>
      </c>
      <c r="P56" s="392">
        <f t="shared" si="126"/>
        <v>0.66014926375054395</v>
      </c>
      <c r="Q56" s="392">
        <f t="shared" si="127"/>
        <v>0.85180550161360513</v>
      </c>
      <c r="R56" s="386">
        <v>298</v>
      </c>
      <c r="S56" s="386">
        <v>2</v>
      </c>
      <c r="T56" s="387" t="s">
        <v>330</v>
      </c>
      <c r="U56" s="388" t="s">
        <v>451</v>
      </c>
      <c r="X56" s="342">
        <f t="shared" si="70"/>
        <v>561.02827939743997</v>
      </c>
      <c r="Y56" s="343">
        <f t="shared" si="9"/>
        <v>561.02827939743997</v>
      </c>
      <c r="Z56" s="342">
        <f t="shared" si="71"/>
        <v>16.587948638229534</v>
      </c>
      <c r="AA56" s="174">
        <f t="shared" si="11"/>
        <v>16.587948638229534</v>
      </c>
      <c r="AB56" s="344">
        <f t="shared" si="12"/>
        <v>17.760163675331089</v>
      </c>
      <c r="AC56" s="174">
        <f t="shared" si="13"/>
        <v>17.760163675331089</v>
      </c>
      <c r="AD56" s="315"/>
      <c r="AE56" s="315"/>
    </row>
    <row r="57" spans="2:31" s="35" customFormat="1" x14ac:dyDescent="0.3">
      <c r="B57" s="382" t="s">
        <v>197</v>
      </c>
      <c r="C57" s="390" t="s">
        <v>331</v>
      </c>
      <c r="D57" s="384" t="s">
        <v>68</v>
      </c>
      <c r="E57" s="384" t="s">
        <v>320</v>
      </c>
      <c r="F57" s="384">
        <v>250</v>
      </c>
      <c r="G57" s="384">
        <v>250</v>
      </c>
      <c r="H57" s="173">
        <v>260.70832763571724</v>
      </c>
      <c r="I57" s="173">
        <v>568.08163544373031</v>
      </c>
      <c r="J57" s="392">
        <f t="shared" ref="J57:J58" si="128">IF(H57&lt;&gt;"-", H57*ED_8/AT_AC*Breathing_Ratio,"-")</f>
        <v>177.35260383382126</v>
      </c>
      <c r="K57" s="392">
        <f t="shared" ref="K57:K58" si="129">IF(I57&lt;&gt;"-",I57* ED_8/AT_AC*Breathing_Ratio,"-")</f>
        <v>386.45009213859203</v>
      </c>
      <c r="L57" s="392">
        <f t="shared" si="114"/>
        <v>130.05857614480226</v>
      </c>
      <c r="M57" s="392">
        <f t="shared" ref="M57:M58" si="130">IF(I57&lt;&gt;"-", IF(G57&gt;=EF_I, I57*ED_8*EF_I/AT_ADC_I*Breathing_Ratio, I57*ED_8*G57/AT_ADC_I*Breathing_Ratio),"-")</f>
        <v>283.39673423496748</v>
      </c>
      <c r="N57" s="392">
        <f t="shared" ref="N57:N58" si="131">IF(H57&lt;&gt;"-", H57*ED_8*F57*WY_mid/AT_ADC_mid*Breathing_Ratio, "-")</f>
        <v>121.4743861875488</v>
      </c>
      <c r="O57" s="392">
        <f t="shared" ref="O57:O58" si="132">IF(I57&lt;&gt;"-", I57*ED_8*G57*WY_high/AT_ADC_high*Breathing_Ratio,"-")</f>
        <v>264.69184393054252</v>
      </c>
      <c r="P57" s="392">
        <f t="shared" ref="P57:P58" si="133">IF(H57&lt;&gt;"-",H57*ED_8*F57*WY_mid/AT_LADC*Breathing_Ratio,"-")</f>
        <v>48.278281689923233</v>
      </c>
      <c r="Q57" s="392">
        <f t="shared" ref="Q57:Q58" si="134">IF(I57&lt;&gt;"-",I57*ED_8*G57*WY_high/AT_LADC*Breathing_Ratio,"-")</f>
        <v>135.73940714386794</v>
      </c>
      <c r="R57" s="386">
        <v>99</v>
      </c>
      <c r="S57" s="386">
        <v>5</v>
      </c>
      <c r="T57" s="387" t="s">
        <v>332</v>
      </c>
      <c r="U57" s="388" t="s">
        <v>451</v>
      </c>
      <c r="V57" s="389"/>
      <c r="X57" s="342">
        <f t="shared" si="70"/>
        <v>7.6714081906680089</v>
      </c>
      <c r="Y57" s="343">
        <f t="shared" si="9"/>
        <v>3.5206207615526841</v>
      </c>
      <c r="Z57" s="342">
        <f t="shared" si="71"/>
        <v>0.22682087467385331</v>
      </c>
      <c r="AA57" s="174">
        <f t="shared" si="11"/>
        <v>0.10409435408504465</v>
      </c>
      <c r="AB57" s="344">
        <f t="shared" si="12"/>
        <v>0.24284954981747228</v>
      </c>
      <c r="AC57" s="174">
        <f t="shared" si="13"/>
        <v>0.11145035510705445</v>
      </c>
      <c r="AD57" s="315"/>
      <c r="AE57" s="315"/>
    </row>
    <row r="58" spans="2:31" s="35" customFormat="1" x14ac:dyDescent="0.3">
      <c r="B58" s="382" t="s">
        <v>200</v>
      </c>
      <c r="C58" s="390" t="s">
        <v>333</v>
      </c>
      <c r="D58" s="384" t="s">
        <v>68</v>
      </c>
      <c r="E58" s="384" t="s">
        <v>320</v>
      </c>
      <c r="F58" s="384">
        <v>250</v>
      </c>
      <c r="G58" s="384">
        <v>250</v>
      </c>
      <c r="H58" s="173">
        <v>2.293523307226641</v>
      </c>
      <c r="I58" s="173">
        <v>64.754252873563217</v>
      </c>
      <c r="J58" s="392">
        <f t="shared" si="128"/>
        <v>1.5602199368888714</v>
      </c>
      <c r="K58" s="392">
        <f t="shared" si="129"/>
        <v>44.050512158886548</v>
      </c>
      <c r="L58" s="392">
        <f t="shared" si="114"/>
        <v>1.1441612870518389</v>
      </c>
      <c r="M58" s="392">
        <f t="shared" si="130"/>
        <v>32.303708916516797</v>
      </c>
      <c r="N58" s="392">
        <f t="shared" si="131"/>
        <v>1.0686437923896379</v>
      </c>
      <c r="O58" s="392">
        <f t="shared" si="132"/>
        <v>30.171583670470238</v>
      </c>
      <c r="P58" s="392">
        <f t="shared" si="133"/>
        <v>0.4247174046676766</v>
      </c>
      <c r="Q58" s="392">
        <f t="shared" si="134"/>
        <v>15.472607010497557</v>
      </c>
      <c r="R58" s="386">
        <v>100</v>
      </c>
      <c r="S58" s="386">
        <v>18</v>
      </c>
      <c r="T58" s="387" t="s">
        <v>329</v>
      </c>
      <c r="U58" s="388" t="s">
        <v>451</v>
      </c>
      <c r="X58" s="342">
        <f t="shared" si="70"/>
        <v>872.02078727441699</v>
      </c>
      <c r="Y58" s="343">
        <f t="shared" si="9"/>
        <v>30.886002250773039</v>
      </c>
      <c r="Z58" s="342">
        <f t="shared" si="71"/>
        <v>25.783078254651201</v>
      </c>
      <c r="AA58" s="174">
        <f t="shared" si="11"/>
        <v>0.91320783245779968</v>
      </c>
      <c r="AB58" s="344">
        <f t="shared" si="12"/>
        <v>27.605082451313219</v>
      </c>
      <c r="AC58" s="174">
        <f t="shared" si="13"/>
        <v>0.97774118595148407</v>
      </c>
      <c r="AD58" s="315"/>
      <c r="AE58" s="315"/>
    </row>
    <row r="59" spans="2:31" s="35" customFormat="1" x14ac:dyDescent="0.3">
      <c r="B59" s="382" t="s">
        <v>202</v>
      </c>
      <c r="C59" s="390" t="s">
        <v>334</v>
      </c>
      <c r="D59" s="384" t="s">
        <v>68</v>
      </c>
      <c r="E59" s="384" t="s">
        <v>320</v>
      </c>
      <c r="F59" s="384">
        <v>250</v>
      </c>
      <c r="G59" s="384">
        <v>250</v>
      </c>
      <c r="H59" s="173">
        <v>5.9581021867385058</v>
      </c>
      <c r="I59" s="173">
        <v>150.92934988026789</v>
      </c>
      <c r="J59" s="392">
        <f t="shared" ref="J59:J60" si="135">IF(H59&lt;&gt;"-", H59*ED_8/AT_AC*Breathing_Ratio,"-")</f>
        <v>4.0531307392778952</v>
      </c>
      <c r="K59" s="392">
        <f t="shared" ref="K59:K60" si="136">IF(I59&lt;&gt;"-",I59* ED_8/AT_AC*Breathing_Ratio,"-")</f>
        <v>102.67302712943395</v>
      </c>
      <c r="L59" s="392">
        <f t="shared" si="114"/>
        <v>2.9722958754704565</v>
      </c>
      <c r="M59" s="392">
        <f t="shared" ref="M59:M60" si="137">IF(I59&lt;&gt;"-", IF(G59&gt;=EF_I, I59*ED_8*EF_I/AT_ADC_I*Breathing_Ratio, I59*ED_8*G59/AT_ADC_I*Breathing_Ratio),"-")</f>
        <v>75.293553228251554</v>
      </c>
      <c r="N59" s="392">
        <f t="shared" ref="N59:N60" si="138">IF(H59&lt;&gt;"-", H59*ED_8*F59*WY_mid/AT_ADC_mid*Breathing_Ratio, "-")</f>
        <v>2.7761169447108873</v>
      </c>
      <c r="O59" s="392">
        <f t="shared" ref="O59:O60" si="139">IF(I59&lt;&gt;"-", I59*ED_8*G59*WY_high/AT_ADC_high*Breathing_Ratio,"-")</f>
        <v>70.323991184543786</v>
      </c>
      <c r="P59" s="392">
        <f t="shared" ref="P59:P60" si="140">IF(H59&lt;&gt;"-",H59*ED_8*F59*WY_mid/AT_LADC*Breathing_Ratio,"-")</f>
        <v>1.1033285293081732</v>
      </c>
      <c r="Q59" s="392">
        <f t="shared" ref="Q59:Q60" si="141">IF(I59&lt;&gt;"-",I59*ED_8*G59*WY_high/AT_LADC*Breathing_Ratio,"-")</f>
        <v>36.063585222842974</v>
      </c>
      <c r="R59" s="386">
        <v>468</v>
      </c>
      <c r="S59" s="386">
        <v>0</v>
      </c>
      <c r="T59" s="387" t="s">
        <v>329</v>
      </c>
      <c r="U59" s="388" t="s">
        <v>451</v>
      </c>
      <c r="X59" s="342">
        <f t="shared" si="70"/>
        <v>335.67735787606722</v>
      </c>
      <c r="Y59" s="343">
        <f t="shared" si="9"/>
        <v>13.251233120573289</v>
      </c>
      <c r="Z59" s="342">
        <f t="shared" si="71"/>
        <v>9.9249876983834007</v>
      </c>
      <c r="AA59" s="174">
        <f t="shared" si="11"/>
        <v>0.39179981200476865</v>
      </c>
      <c r="AB59" s="344">
        <f t="shared" si="12"/>
        <v>10.626353495735827</v>
      </c>
      <c r="AC59" s="174">
        <f t="shared" si="13"/>
        <v>0.41948699871977235</v>
      </c>
      <c r="AD59" s="315"/>
      <c r="AE59" s="315"/>
    </row>
    <row r="60" spans="2:31" s="35" customFormat="1" x14ac:dyDescent="0.3">
      <c r="B60" s="382" t="s">
        <v>203</v>
      </c>
      <c r="C60" s="390" t="s">
        <v>515</v>
      </c>
      <c r="D60" s="384" t="s">
        <v>80</v>
      </c>
      <c r="E60" s="384" t="s">
        <v>320</v>
      </c>
      <c r="F60" s="384">
        <v>250</v>
      </c>
      <c r="G60" s="384">
        <v>250</v>
      </c>
      <c r="H60" s="173">
        <v>7.8</v>
      </c>
      <c r="I60" s="173">
        <v>7.8</v>
      </c>
      <c r="J60" s="392">
        <f t="shared" si="135"/>
        <v>5.3061224489795924</v>
      </c>
      <c r="K60" s="392">
        <f t="shared" si="136"/>
        <v>5.3061224489795924</v>
      </c>
      <c r="L60" s="392">
        <f t="shared" si="114"/>
        <v>3.8911564625850339</v>
      </c>
      <c r="M60" s="392">
        <f t="shared" si="137"/>
        <v>3.8911564625850339</v>
      </c>
      <c r="N60" s="392">
        <f t="shared" si="138"/>
        <v>3.6343304445065701</v>
      </c>
      <c r="O60" s="392">
        <f t="shared" si="139"/>
        <v>3.6343304445065701</v>
      </c>
      <c r="P60" s="392">
        <f t="shared" si="140"/>
        <v>1.4444133817910727</v>
      </c>
      <c r="Q60" s="392">
        <f t="shared" si="141"/>
        <v>1.8637592023110614</v>
      </c>
      <c r="R60" s="386">
        <v>667</v>
      </c>
      <c r="S60" s="386">
        <v>23</v>
      </c>
      <c r="T60" s="387" t="s">
        <v>330</v>
      </c>
      <c r="U60" s="388" t="s">
        <v>451</v>
      </c>
      <c r="X60" s="342">
        <f t="shared" si="70"/>
        <v>256.41025641025641</v>
      </c>
      <c r="Y60" s="343">
        <f t="shared" si="9"/>
        <v>256.41025641025641</v>
      </c>
      <c r="Z60" s="342">
        <f t="shared" si="71"/>
        <v>7.5812937062937067</v>
      </c>
      <c r="AA60" s="174">
        <f t="shared" si="11"/>
        <v>7.5812937062937067</v>
      </c>
      <c r="AB60" s="344">
        <f t="shared" si="12"/>
        <v>8.1170384615384616</v>
      </c>
      <c r="AC60" s="174">
        <f t="shared" si="13"/>
        <v>8.1170384615384616</v>
      </c>
      <c r="AD60" s="315"/>
      <c r="AE60" s="315"/>
    </row>
    <row r="61" spans="2:31" s="35" customFormat="1" x14ac:dyDescent="0.3">
      <c r="B61" s="382" t="s">
        <v>205</v>
      </c>
      <c r="C61" s="390" t="s">
        <v>175</v>
      </c>
      <c r="D61" s="384" t="s">
        <v>68</v>
      </c>
      <c r="E61" s="384" t="s">
        <v>320</v>
      </c>
      <c r="F61" s="384">
        <v>250</v>
      </c>
      <c r="G61" s="384">
        <v>250</v>
      </c>
      <c r="H61" s="173">
        <v>41.850574712643677</v>
      </c>
      <c r="I61" s="173">
        <v>218.5105644607932</v>
      </c>
      <c r="J61" s="392">
        <f t="shared" ref="J61:J62" si="142">IF(H61&lt;&gt;"-", H61*ED_8/AT_AC*Breathing_Ratio,"-")</f>
        <v>28.469778716084132</v>
      </c>
      <c r="K61" s="392">
        <f t="shared" ref="K61:K62" si="143">IF(I61&lt;&gt;"-",I61* ED_8/AT_AC*Breathing_Ratio,"-")</f>
        <v>148.64664249033552</v>
      </c>
      <c r="L61" s="392">
        <f t="shared" si="23"/>
        <v>20.877837725128366</v>
      </c>
      <c r="M61" s="392">
        <f t="shared" ref="M61:M62" si="144">IF(I61&lt;&gt;"-", IF(G61&gt;=EF_I, I61*ED_8*EF_I/AT_ADC_I*Breathing_Ratio, I61*ED_8*G61/AT_ADC_I*Breathing_Ratio),"-")</f>
        <v>109.00753782624605</v>
      </c>
      <c r="N61" s="392">
        <f t="shared" ref="N61:N62" si="145">IF(H61&lt;&gt;"-", H61*ED_8*F61*WY_mid/AT_ADC_mid*Breathing_Ratio, "-")</f>
        <v>19.499848435674068</v>
      </c>
      <c r="O61" s="392">
        <f t="shared" ref="O61:O62" si="146">IF(I61&lt;&gt;"-", I61*ED_8*G61*WY_high/AT_ADC_high*Breathing_Ratio,"-")</f>
        <v>101.81276882899695</v>
      </c>
      <c r="P61" s="392">
        <f t="shared" ref="P61:P62" si="147">IF(H61&lt;&gt;"-",H61*ED_8*F61*WY_mid/AT_LADC*Breathing_Ratio,"-")</f>
        <v>7.7499397628961031</v>
      </c>
      <c r="Q61" s="392">
        <f t="shared" ref="Q61:Q62" si="148">IF(I61&lt;&gt;"-",I61*ED_8*G61*WY_high/AT_LADC*Breathing_Ratio,"-")</f>
        <v>52.211676322562532</v>
      </c>
      <c r="R61" s="386">
        <v>84</v>
      </c>
      <c r="S61" s="386">
        <v>1</v>
      </c>
      <c r="T61" s="387" t="s">
        <v>329</v>
      </c>
      <c r="U61" s="388" t="s">
        <v>451</v>
      </c>
      <c r="V61" s="389"/>
      <c r="X61" s="342">
        <f t="shared" si="8"/>
        <v>47.789068937105192</v>
      </c>
      <c r="Y61" s="343">
        <f t="shared" si="9"/>
        <v>9.1528755368661123</v>
      </c>
      <c r="Z61" s="342">
        <f t="shared" si="10"/>
        <v>1.4129815734937954</v>
      </c>
      <c r="AA61" s="174">
        <f t="shared" si="11"/>
        <v>0.27062348703831746</v>
      </c>
      <c r="AB61" s="344">
        <f t="shared" si="12"/>
        <v>1.5128322713540234</v>
      </c>
      <c r="AC61" s="174">
        <f t="shared" si="13"/>
        <v>0.2897475467890252</v>
      </c>
      <c r="AD61" s="315"/>
      <c r="AE61" s="315"/>
    </row>
    <row r="62" spans="2:31" s="35" customFormat="1" x14ac:dyDescent="0.3">
      <c r="B62" s="382" t="s">
        <v>208</v>
      </c>
      <c r="C62" s="390" t="s">
        <v>175</v>
      </c>
      <c r="D62" s="384" t="s">
        <v>80</v>
      </c>
      <c r="E62" s="384" t="s">
        <v>320</v>
      </c>
      <c r="F62" s="384">
        <v>250</v>
      </c>
      <c r="G62" s="384">
        <v>250</v>
      </c>
      <c r="H62" s="173">
        <v>41.850574712643677</v>
      </c>
      <c r="I62" s="173">
        <v>41.850574712643677</v>
      </c>
      <c r="J62" s="392">
        <f t="shared" si="142"/>
        <v>28.469778716084132</v>
      </c>
      <c r="K62" s="392">
        <f t="shared" si="143"/>
        <v>28.469778716084132</v>
      </c>
      <c r="L62" s="392">
        <f t="shared" si="23"/>
        <v>20.877837725128366</v>
      </c>
      <c r="M62" s="392">
        <f t="shared" si="144"/>
        <v>20.877837725128366</v>
      </c>
      <c r="N62" s="392">
        <f t="shared" si="145"/>
        <v>19.499848435674068</v>
      </c>
      <c r="O62" s="392">
        <f t="shared" si="146"/>
        <v>19.499848435674068</v>
      </c>
      <c r="P62" s="392">
        <f t="shared" si="147"/>
        <v>7.7499397628961031</v>
      </c>
      <c r="Q62" s="392">
        <f t="shared" si="148"/>
        <v>9.9999222747046499</v>
      </c>
      <c r="R62" s="386" t="s">
        <v>86</v>
      </c>
      <c r="S62" s="386" t="s">
        <v>86</v>
      </c>
      <c r="T62" s="387" t="s">
        <v>330</v>
      </c>
      <c r="U62" s="388" t="s">
        <v>451</v>
      </c>
      <c r="V62" s="389"/>
      <c r="X62" s="342">
        <f t="shared" si="8"/>
        <v>47.789068937105192</v>
      </c>
      <c r="Y62" s="343">
        <f t="shared" si="9"/>
        <v>47.789068937105192</v>
      </c>
      <c r="Z62" s="342">
        <f t="shared" si="10"/>
        <v>1.4129815734937954</v>
      </c>
      <c r="AA62" s="174">
        <f t="shared" si="11"/>
        <v>1.4129815734937954</v>
      </c>
      <c r="AB62" s="344">
        <f t="shared" si="12"/>
        <v>1.5128322713540234</v>
      </c>
      <c r="AC62" s="174">
        <f t="shared" si="13"/>
        <v>1.5128322713540234</v>
      </c>
      <c r="AD62" s="315"/>
      <c r="AE62" s="315"/>
    </row>
    <row r="63" spans="2:31" s="35" customFormat="1" x14ac:dyDescent="0.3">
      <c r="B63" s="382" t="s">
        <v>527</v>
      </c>
      <c r="C63" s="390" t="s">
        <v>216</v>
      </c>
      <c r="D63" s="384" t="s">
        <v>68</v>
      </c>
      <c r="E63" s="384" t="s">
        <v>320</v>
      </c>
      <c r="F63" s="384">
        <v>167</v>
      </c>
      <c r="G63" s="384">
        <v>250</v>
      </c>
      <c r="H63" s="173">
        <v>1.2537413323360311E-2</v>
      </c>
      <c r="I63" s="173">
        <v>1.289694763462005E-2</v>
      </c>
      <c r="J63" s="392">
        <f>IF(H63&lt;&gt;"-", H63*ED_8/AT_AC*Breathing_Ratio,"-")</f>
        <v>8.5288526009253823E-3</v>
      </c>
      <c r="K63" s="392">
        <f>IF(I63&lt;&gt;"-",I63* ED_8/AT_AC*Breathing_Ratio,"-")</f>
        <v>8.7734337650476543E-3</v>
      </c>
      <c r="L63" s="392">
        <f>IF(H63&lt;&gt;"-",IF(F63&gt;=EF_I,H63*ED_8*EF_I/AT_ADC_I*Breathing_Ratio,H63*ED_8*F63/AT_ADC_I*Breathing_Ratio),"-")</f>
        <v>6.2544919073452806E-3</v>
      </c>
      <c r="M63" s="392">
        <f>IF(I63&lt;&gt;"-", IF(G63&gt;=EF_I, I63*ED_8*EF_I/AT_ADC_I*Breathing_Ratio, I63*ED_8*G63/AT_ADC_I*Breathing_Ratio),"-")</f>
        <v>6.4338514277016128E-3</v>
      </c>
      <c r="N63" s="392">
        <f>IF(H63&lt;&gt;"-", H63*ED_8*F63*WY_mid/AT_ADC_mid*Breathing_Ratio, "-")</f>
        <v>3.9022421489165442E-3</v>
      </c>
      <c r="O63" s="392">
        <f>IF(I63&lt;&gt;"-", I63*ED_8*G63*WY_high/AT_ADC_high*Breathing_Ratio,"-")</f>
        <v>6.0092012089367495E-3</v>
      </c>
      <c r="P63" s="392">
        <f>IF(H63&lt;&gt;"-",H63*ED_8*F63*WY_mid/AT_LADC*Breathing_Ratio,"-")</f>
        <v>1.5508911104668316E-3</v>
      </c>
      <c r="Q63" s="392">
        <f>IF(I63&lt;&gt;"-",I63*ED_8*G63*WY_high/AT_LADC*Breathing_Ratio,"-")</f>
        <v>3.0816416456085891E-3</v>
      </c>
      <c r="R63" s="386">
        <v>6</v>
      </c>
      <c r="S63" s="386">
        <v>6</v>
      </c>
      <c r="T63" s="387" t="s">
        <v>338</v>
      </c>
      <c r="U63" s="388" t="s">
        <v>451</v>
      </c>
      <c r="X63" s="342">
        <f>X$1/H63</f>
        <v>159522.53853460378</v>
      </c>
      <c r="Y63" s="343">
        <f>Y$1/I63</f>
        <v>155075.45325153373</v>
      </c>
      <c r="Z63" s="342">
        <f t="shared" ref="Z63:AC64" si="149">Z$1/L63</f>
        <v>4716.6101478771079</v>
      </c>
      <c r="AA63" s="174">
        <f t="shared" si="149"/>
        <v>4585.1229751723358</v>
      </c>
      <c r="AB63" s="344">
        <f t="shared" si="149"/>
        <v>7559.756384721195</v>
      </c>
      <c r="AC63" s="174">
        <f t="shared" si="149"/>
        <v>4909.1383320845143</v>
      </c>
      <c r="AD63" s="315"/>
      <c r="AE63" s="315"/>
    </row>
    <row r="64" spans="2:31" s="35" customFormat="1" x14ac:dyDescent="0.3">
      <c r="B64" s="382" t="s">
        <v>528</v>
      </c>
      <c r="C64" s="390" t="s">
        <v>216</v>
      </c>
      <c r="D64" s="384" t="s">
        <v>80</v>
      </c>
      <c r="E64" s="384" t="s">
        <v>320</v>
      </c>
      <c r="F64" s="384">
        <v>167</v>
      </c>
      <c r="G64" s="384">
        <v>250</v>
      </c>
      <c r="H64" s="173">
        <v>1.2537413323360311E-2</v>
      </c>
      <c r="I64" s="173">
        <v>1.2537413323360311E-2</v>
      </c>
      <c r="J64" s="392">
        <f>IF(H64&lt;&gt;"-", H64*ED_8/AT_AC*Breathing_Ratio,"-")</f>
        <v>8.5288526009253823E-3</v>
      </c>
      <c r="K64" s="392">
        <f>IF(I64&lt;&gt;"-",I64* ED_8/AT_AC*Breathing_Ratio,"-")</f>
        <v>8.5288526009253823E-3</v>
      </c>
      <c r="L64" s="392">
        <f>IF(H64&lt;&gt;"-",IF(F64&gt;=EF_I,H64*ED_8*EF_I/AT_ADC_I*Breathing_Ratio,H64*ED_8*F64/AT_ADC_I*Breathing_Ratio),"-")</f>
        <v>6.2544919073452806E-3</v>
      </c>
      <c r="M64" s="392">
        <f>IF(I64&lt;&gt;"-", IF(G64&gt;=EF_I, I64*ED_8*EF_I/AT_ADC_I*Breathing_Ratio, I64*ED_8*G64/AT_ADC_I*Breathing_Ratio),"-")</f>
        <v>6.2544919073452806E-3</v>
      </c>
      <c r="N64" s="392">
        <f>IF(H64&lt;&gt;"-", H64*ED_8*F64*WY_mid/AT_ADC_mid*Breathing_Ratio, "-")</f>
        <v>3.9022421489165442E-3</v>
      </c>
      <c r="O64" s="392">
        <f>IF(I64&lt;&gt;"-", I64*ED_8*G64*WY_high/AT_ADC_high*Breathing_Ratio,"-")</f>
        <v>5.8416798636475222E-3</v>
      </c>
      <c r="P64" s="392">
        <f>IF(H64&lt;&gt;"-",H64*ED_8*F64*WY_mid/AT_LADC*Breathing_Ratio,"-")</f>
        <v>1.5508911104668316E-3</v>
      </c>
      <c r="Q64" s="392">
        <f>IF(I64&lt;&gt;"-",I64*ED_8*G64*WY_high/AT_LADC*Breathing_Ratio,"-")</f>
        <v>2.9957332634089856E-3</v>
      </c>
      <c r="R64" s="386" t="s">
        <v>86</v>
      </c>
      <c r="S64" s="386" t="s">
        <v>86</v>
      </c>
      <c r="T64" s="387" t="s">
        <v>330</v>
      </c>
      <c r="U64" s="388" t="s">
        <v>451</v>
      </c>
      <c r="X64" s="342">
        <f>X$1/H64</f>
        <v>159522.53853460378</v>
      </c>
      <c r="Y64" s="343">
        <f>Y$1/I64</f>
        <v>159522.53853460378</v>
      </c>
      <c r="Z64" s="342">
        <f t="shared" si="149"/>
        <v>4716.6101478771079</v>
      </c>
      <c r="AA64" s="174">
        <f t="shared" si="149"/>
        <v>4716.6101478771079</v>
      </c>
      <c r="AB64" s="344">
        <f t="shared" si="149"/>
        <v>7559.756384721195</v>
      </c>
      <c r="AC64" s="174">
        <f t="shared" si="149"/>
        <v>5049.9172649937573</v>
      </c>
      <c r="AD64" s="315"/>
      <c r="AE64" s="315"/>
    </row>
    <row r="65" spans="2:31" s="35" customFormat="1" x14ac:dyDescent="0.3">
      <c r="B65" s="382" t="s">
        <v>529</v>
      </c>
      <c r="C65" s="390" t="s">
        <v>213</v>
      </c>
      <c r="D65" s="384" t="s">
        <v>68</v>
      </c>
      <c r="E65" s="384" t="s">
        <v>320</v>
      </c>
      <c r="F65" s="384">
        <v>250</v>
      </c>
      <c r="G65" s="384">
        <v>250</v>
      </c>
      <c r="H65" s="173">
        <v>6.0687296910460073</v>
      </c>
      <c r="I65" s="173">
        <v>22.147093240664326</v>
      </c>
      <c r="J65" s="392">
        <f t="shared" ref="J65:J69" si="150">IF(H65&lt;&gt;"-", H65*ED_8/AT_AC*Breathing_Ratio,"-")</f>
        <v>4.1283875449292564</v>
      </c>
      <c r="K65" s="392">
        <f t="shared" ref="K65:K69" si="151">IF(I65&lt;&gt;"-",I65* ED_8/AT_AC*Breathing_Ratio,"-")</f>
        <v>15.066049823581174</v>
      </c>
      <c r="L65" s="392">
        <f t="shared" ref="L65:L66" si="152">IF(H65&lt;&gt;"-",IF(F65&gt;=EF_I,H65*ED_8*EF_I/AT_ADC_I*Breathing_Ratio,H65*ED_8*F65/AT_ADC_I*Breathing_Ratio),"-")</f>
        <v>3.0274841996147881</v>
      </c>
      <c r="M65" s="392">
        <f t="shared" ref="M65:M69" si="153">IF(I65&lt;&gt;"-", IF(G65&gt;=EF_I, I65*ED_8*EF_I/AT_ADC_I*Breathing_Ratio, I65*ED_8*G65/AT_ADC_I*Breathing_Ratio),"-")</f>
        <v>11.048436537292861</v>
      </c>
      <c r="N65" s="392">
        <f t="shared" ref="N65:N69" si="154">IF(H65&lt;&gt;"-", H65*ED_8*F65*WY_mid/AT_ADC_mid*Breathing_Ratio, "-")</f>
        <v>2.8276627020063403</v>
      </c>
      <c r="O65" s="392">
        <f t="shared" ref="O65:O69" si="155">IF(I65&lt;&gt;"-", I65*ED_8*G65*WY_high/AT_ADC_high*Breathing_Ratio,"-")</f>
        <v>10.319212207932312</v>
      </c>
      <c r="P65" s="392">
        <f t="shared" ref="P65:P69" si="156">IF(H65&lt;&gt;"-",H65*ED_8*F65*WY_mid/AT_LADC*Breathing_Ratio,"-")</f>
        <v>1.1238146636179045</v>
      </c>
      <c r="Q65" s="392">
        <f t="shared" ref="Q65:Q69" si="157">IF(I65&lt;&gt;"-",I65*ED_8*G65*WY_high/AT_LADC*Breathing_Ratio,"-")</f>
        <v>5.2919036963755435</v>
      </c>
      <c r="R65" s="386">
        <v>22</v>
      </c>
      <c r="S65" s="386">
        <v>0</v>
      </c>
      <c r="T65" s="387" t="s">
        <v>337</v>
      </c>
      <c r="U65" s="388" t="s">
        <v>451</v>
      </c>
      <c r="X65" s="342">
        <f t="shared" ref="X65" si="158">X$1/H65</f>
        <v>329.55826042983301</v>
      </c>
      <c r="Y65" s="343">
        <f t="shared" ref="Y65" si="159">Y$1/I65</f>
        <v>90.305304550205975</v>
      </c>
      <c r="Z65" s="342">
        <f t="shared" ref="Z65" si="160">Z$1/L65</f>
        <v>9.7440640660498019</v>
      </c>
      <c r="AA65" s="174">
        <f t="shared" ref="AA65" si="161">AA$1/M65</f>
        <v>2.6700610444225101</v>
      </c>
      <c r="AB65" s="344">
        <f t="shared" ref="AB65" si="162">AB$1/N65</f>
        <v>10.432644593383987</v>
      </c>
      <c r="AC65" s="174">
        <f t="shared" ref="AC65" si="163">AC$1/O65</f>
        <v>2.8587453582283677</v>
      </c>
      <c r="AD65" s="315"/>
      <c r="AE65" s="315"/>
    </row>
    <row r="66" spans="2:31" s="35" customFormat="1" x14ac:dyDescent="0.3">
      <c r="B66" s="382" t="s">
        <v>530</v>
      </c>
      <c r="C66" s="390" t="s">
        <v>213</v>
      </c>
      <c r="D66" s="384" t="s">
        <v>80</v>
      </c>
      <c r="E66" s="384" t="s">
        <v>320</v>
      </c>
      <c r="F66" s="384">
        <v>250</v>
      </c>
      <c r="G66" s="384">
        <v>250</v>
      </c>
      <c r="H66" s="173">
        <v>6.0687296910460073</v>
      </c>
      <c r="I66" s="173">
        <v>6.0687296910460073</v>
      </c>
      <c r="J66" s="392">
        <f t="shared" si="150"/>
        <v>4.1283875449292564</v>
      </c>
      <c r="K66" s="392">
        <f t="shared" si="151"/>
        <v>4.1283875449292564</v>
      </c>
      <c r="L66" s="392">
        <f t="shared" si="152"/>
        <v>3.0274841996147881</v>
      </c>
      <c r="M66" s="392">
        <f t="shared" si="153"/>
        <v>3.0274841996147881</v>
      </c>
      <c r="N66" s="392">
        <f t="shared" si="154"/>
        <v>2.8276627020063403</v>
      </c>
      <c r="O66" s="392">
        <f t="shared" si="155"/>
        <v>2.8276627020063398</v>
      </c>
      <c r="P66" s="392">
        <f t="shared" si="156"/>
        <v>1.1238146636179045</v>
      </c>
      <c r="Q66" s="392">
        <f t="shared" si="157"/>
        <v>1.4500834369263282</v>
      </c>
      <c r="R66" s="386" t="s">
        <v>86</v>
      </c>
      <c r="S66" s="386" t="s">
        <v>86</v>
      </c>
      <c r="T66" s="387" t="s">
        <v>330</v>
      </c>
      <c r="U66" s="388" t="s">
        <v>451</v>
      </c>
      <c r="X66" s="342">
        <f t="shared" ref="X66:X70" si="164">X$1/H66</f>
        <v>329.55826042983301</v>
      </c>
      <c r="Y66" s="343">
        <f t="shared" ref="Y66:Y70" si="165">Y$1/I66</f>
        <v>329.55826042983301</v>
      </c>
      <c r="Z66" s="342">
        <f t="shared" ref="Z66:Z70" si="166">Z$1/L66</f>
        <v>9.7440640660498019</v>
      </c>
      <c r="AA66" s="174">
        <f t="shared" ref="AA66:AA70" si="167">AA$1/M66</f>
        <v>9.7440640660498019</v>
      </c>
      <c r="AB66" s="344">
        <f t="shared" ref="AB66:AB70" si="168">AB$1/N66</f>
        <v>10.432644593383987</v>
      </c>
      <c r="AC66" s="174">
        <f t="shared" ref="AC66:AC70" si="169">AC$1/O66</f>
        <v>10.432644593383987</v>
      </c>
      <c r="AD66" s="315"/>
      <c r="AE66" s="315"/>
    </row>
    <row r="67" spans="2:31" s="35" customFormat="1" x14ac:dyDescent="0.3">
      <c r="B67" s="382" t="s">
        <v>217</v>
      </c>
      <c r="C67" s="390" t="s">
        <v>219</v>
      </c>
      <c r="D67" s="384" t="s">
        <v>68</v>
      </c>
      <c r="E67" s="384" t="s">
        <v>320</v>
      </c>
      <c r="F67" s="384">
        <v>250</v>
      </c>
      <c r="G67" s="384">
        <v>250</v>
      </c>
      <c r="H67" s="173">
        <v>1.9925211471012998E-2</v>
      </c>
      <c r="I67" s="173">
        <v>0.29005054672993597</v>
      </c>
      <c r="J67" s="392">
        <f t="shared" ref="J67" si="170">IF(H67&lt;&gt;"-", H67*ED_8/AT_AC*Breathing_Ratio,"-")</f>
        <v>1.3554565626539453E-2</v>
      </c>
      <c r="K67" s="392">
        <f t="shared" ref="K67" si="171">IF(I67&lt;&gt;"-",I67* ED_8/AT_AC*Breathing_Ratio,"-")</f>
        <v>0.19731329709519455</v>
      </c>
      <c r="L67" s="392">
        <f t="shared" ref="L67:L70" si="172">IF(H67&lt;&gt;"-",IF(F67&gt;=EF_I,H67*ED_8*EF_I/AT_ADC_I*Breathing_Ratio,H67*ED_8*F67/AT_ADC_I*Breathing_Ratio),"-")</f>
        <v>9.9400147927955988E-3</v>
      </c>
      <c r="M67" s="392">
        <f t="shared" ref="M67" si="173">IF(I67&lt;&gt;"-", IF(G67&gt;=EF_I, I67*ED_8*EF_I/AT_ADC_I*Breathing_Ratio, I67*ED_8*G67/AT_ADC_I*Breathing_Ratio),"-")</f>
        <v>0.14469641786980933</v>
      </c>
      <c r="N67" s="392">
        <f t="shared" ref="N67" si="174">IF(H67&lt;&gt;"-", H67*ED_8*F67*WY_mid/AT_ADC_mid*Breathing_Ratio, "-")</f>
        <v>9.2839490592735996E-3</v>
      </c>
      <c r="O67" s="392">
        <f t="shared" ref="O67" si="175">IF(I67&lt;&gt;"-", I67*ED_8*G67*WY_high/AT_ADC_high*Breathing_Ratio,"-")</f>
        <v>0.13514609390081816</v>
      </c>
      <c r="P67" s="392">
        <f t="shared" ref="P67" si="176">IF(H67&lt;&gt;"-",H67*ED_8*F67*WY_mid/AT_LADC*Breathing_Ratio,"-")</f>
        <v>3.6897746261215585E-3</v>
      </c>
      <c r="Q67" s="392">
        <f t="shared" ref="Q67" si="177">IF(I67&lt;&gt;"-",I67*ED_8*G67*WY_high/AT_LADC*Breathing_Ratio,"-")</f>
        <v>6.9305689179906746E-2</v>
      </c>
      <c r="R67" s="386">
        <v>3</v>
      </c>
      <c r="S67" s="386">
        <v>0</v>
      </c>
      <c r="T67" s="387" t="s">
        <v>339</v>
      </c>
      <c r="U67" s="388" t="s">
        <v>452</v>
      </c>
      <c r="X67" s="342">
        <f t="shared" si="164"/>
        <v>100375.3462245347</v>
      </c>
      <c r="Y67" s="343">
        <f t="shared" si="165"/>
        <v>6895.3498710767335</v>
      </c>
      <c r="Z67" s="342">
        <f t="shared" si="166"/>
        <v>2967.8024243365553</v>
      </c>
      <c r="AA67" s="174">
        <f t="shared" si="167"/>
        <v>203.8751230631199</v>
      </c>
      <c r="AB67" s="344">
        <f t="shared" si="168"/>
        <v>3177.5271289896714</v>
      </c>
      <c r="AC67" s="174">
        <f t="shared" si="169"/>
        <v>218.28229842624708</v>
      </c>
      <c r="AD67" s="315"/>
      <c r="AE67" s="315"/>
    </row>
    <row r="68" spans="2:31" s="35" customFormat="1" x14ac:dyDescent="0.3">
      <c r="B68" s="382" t="s">
        <v>220</v>
      </c>
      <c r="C68" s="390" t="s">
        <v>221</v>
      </c>
      <c r="D68" s="384" t="s">
        <v>68</v>
      </c>
      <c r="E68" s="384" t="s">
        <v>320</v>
      </c>
      <c r="F68" s="384">
        <v>250</v>
      </c>
      <c r="G68" s="384">
        <v>250</v>
      </c>
      <c r="H68" s="173">
        <v>0.51350533772911022</v>
      </c>
      <c r="I68" s="173">
        <v>17.672996833788311</v>
      </c>
      <c r="J68" s="392">
        <f t="shared" si="150"/>
        <v>0.34932335899939471</v>
      </c>
      <c r="K68" s="392">
        <f t="shared" si="151"/>
        <v>12.022446825706334</v>
      </c>
      <c r="L68" s="392">
        <f t="shared" si="172"/>
        <v>0.25617046326622278</v>
      </c>
      <c r="M68" s="392">
        <f t="shared" si="153"/>
        <v>8.8164610055179775</v>
      </c>
      <c r="N68" s="392">
        <f t="shared" si="154"/>
        <v>0.2392625746571197</v>
      </c>
      <c r="O68" s="392">
        <f t="shared" si="155"/>
        <v>8.2345526203468058</v>
      </c>
      <c r="P68" s="392">
        <f t="shared" si="156"/>
        <v>9.5091536081675782E-2</v>
      </c>
      <c r="Q68" s="392">
        <f t="shared" si="157"/>
        <v>4.2228474976137464</v>
      </c>
      <c r="R68" s="386">
        <v>22</v>
      </c>
      <c r="S68" s="386">
        <v>0</v>
      </c>
      <c r="T68" s="387" t="s">
        <v>329</v>
      </c>
      <c r="U68" s="388" t="s">
        <v>451</v>
      </c>
      <c r="X68" s="342">
        <f t="shared" si="164"/>
        <v>3894.7988522274354</v>
      </c>
      <c r="Y68" s="343">
        <f t="shared" si="165"/>
        <v>113.16699815032379</v>
      </c>
      <c r="Z68" s="342">
        <f t="shared" si="166"/>
        <v>115.15769470012005</v>
      </c>
      <c r="AA68" s="174">
        <f t="shared" si="167"/>
        <v>3.3460137782650854</v>
      </c>
      <c r="AB68" s="344">
        <f t="shared" si="168"/>
        <v>123.29550512559517</v>
      </c>
      <c r="AC68" s="174">
        <f t="shared" si="169"/>
        <v>3.5824654185958167</v>
      </c>
      <c r="AD68" s="315"/>
      <c r="AE68" s="315"/>
    </row>
    <row r="69" spans="2:31" s="35" customFormat="1" x14ac:dyDescent="0.3">
      <c r="B69" s="382" t="s">
        <v>222</v>
      </c>
      <c r="C69" s="390" t="s">
        <v>453</v>
      </c>
      <c r="D69" s="384" t="s">
        <v>68</v>
      </c>
      <c r="E69" s="384" t="s">
        <v>320</v>
      </c>
      <c r="F69" s="384">
        <v>250</v>
      </c>
      <c r="G69" s="384">
        <v>250</v>
      </c>
      <c r="H69" s="173">
        <v>0.37168963686214962</v>
      </c>
      <c r="I69" s="173">
        <v>0.99068866400681144</v>
      </c>
      <c r="J69" s="392">
        <f t="shared" si="150"/>
        <v>0.25285009310350315</v>
      </c>
      <c r="K69" s="392">
        <f t="shared" si="151"/>
        <v>0.6739378666713004</v>
      </c>
      <c r="L69" s="392">
        <f t="shared" si="172"/>
        <v>0.18542340160923565</v>
      </c>
      <c r="M69" s="392">
        <f t="shared" si="153"/>
        <v>0.49422110222562016</v>
      </c>
      <c r="N69" s="392">
        <f t="shared" si="154"/>
        <v>0.17318499527637202</v>
      </c>
      <c r="O69" s="392">
        <f t="shared" si="155"/>
        <v>0.46160127854198651</v>
      </c>
      <c r="P69" s="392">
        <f t="shared" si="156"/>
        <v>6.8829934020096573E-2</v>
      </c>
      <c r="Q69" s="392">
        <f t="shared" si="157"/>
        <v>0.2367186043805059</v>
      </c>
      <c r="R69" s="386">
        <v>3</v>
      </c>
      <c r="S69" s="386">
        <v>0</v>
      </c>
      <c r="T69" s="387" t="s">
        <v>340</v>
      </c>
      <c r="U69" s="388" t="s">
        <v>451</v>
      </c>
      <c r="X69" s="342">
        <f t="shared" si="164"/>
        <v>5380.8333664727652</v>
      </c>
      <c r="Y69" s="343">
        <f t="shared" si="165"/>
        <v>2018.7977037216297</v>
      </c>
      <c r="Z69" s="342">
        <f t="shared" si="166"/>
        <v>159.09534472983506</v>
      </c>
      <c r="AA69" s="174">
        <f t="shared" si="167"/>
        <v>59.689883469469414</v>
      </c>
      <c r="AB69" s="344">
        <f t="shared" si="168"/>
        <v>170.33808242407676</v>
      </c>
      <c r="AC69" s="174">
        <f t="shared" si="169"/>
        <v>63.907968567978578</v>
      </c>
      <c r="AD69" s="315"/>
      <c r="AE69" s="315"/>
    </row>
    <row r="70" spans="2:31" ht="13.5" thickBot="1" x14ac:dyDescent="0.35">
      <c r="B70" s="394" t="s">
        <v>224</v>
      </c>
      <c r="C70" s="395" t="s">
        <v>454</v>
      </c>
      <c r="D70" s="396" t="s">
        <v>80</v>
      </c>
      <c r="E70" s="396" t="s">
        <v>320</v>
      </c>
      <c r="F70" s="396">
        <v>250</v>
      </c>
      <c r="G70" s="396">
        <v>250</v>
      </c>
      <c r="H70" s="185">
        <v>0.47337249220580235</v>
      </c>
      <c r="I70" s="185">
        <v>0.47337249220580235</v>
      </c>
      <c r="J70" s="397">
        <f>IF(H70&lt;&gt;"-", H70*ED_8/AT_AC*Breathing_Ratio,"-")</f>
        <v>0.32202210354136213</v>
      </c>
      <c r="K70" s="397">
        <f>IF(I70&lt;&gt;"-",I70* ED_8/AT_AC*Breathing_Ratio,"-")</f>
        <v>0.32202210354136213</v>
      </c>
      <c r="L70" s="397">
        <f t="shared" si="172"/>
        <v>0.23614954259699891</v>
      </c>
      <c r="M70" s="397">
        <f>IF(I70&lt;&gt;"-", IF(G70&gt;=EF_I, I70*ED_8*EF_I/AT_ADC_I*Breathing_Ratio, I70*ED_8*G70/AT_ADC_I*Breathing_Ratio),"-")</f>
        <v>0.23614954259699891</v>
      </c>
      <c r="N70" s="397">
        <f>IF(H70&lt;&gt;"-", H70*ED_8*F70*WY_mid/AT_ADC_mid*Breathing_Ratio, "-")</f>
        <v>0.22056308461737134</v>
      </c>
      <c r="O70" s="397">
        <f>IF(I70&lt;&gt;"-", I70*ED_8*G70*WY_high/AT_ADC_high*Breathing_Ratio,"-")</f>
        <v>0.22056308461737131</v>
      </c>
      <c r="P70" s="397">
        <f>IF(H70&lt;&gt;"-",H70*ED_8*F70*WY_mid/AT_LADC*Breathing_Ratio,"-")</f>
        <v>8.7659687476134757E-2</v>
      </c>
      <c r="Q70" s="397">
        <f>IF(I70&lt;&gt;"-",I70*ED_8*G70*WY_high/AT_LADC*Breathing_Ratio,"-")</f>
        <v>0.11310927416275453</v>
      </c>
      <c r="R70" s="398">
        <v>28</v>
      </c>
      <c r="S70" s="398">
        <v>0</v>
      </c>
      <c r="T70" s="399" t="s">
        <v>330</v>
      </c>
      <c r="U70" s="400" t="s">
        <v>451</v>
      </c>
      <c r="V70" s="35"/>
      <c r="X70" s="352">
        <f t="shared" si="164"/>
        <v>4225.0025781609729</v>
      </c>
      <c r="Y70" s="353">
        <f t="shared" si="165"/>
        <v>4225.0025781609729</v>
      </c>
      <c r="Z70" s="352">
        <f t="shared" si="166"/>
        <v>124.92084327405722</v>
      </c>
      <c r="AA70" s="186">
        <f t="shared" si="167"/>
        <v>124.92084327405722</v>
      </c>
      <c r="AB70" s="354">
        <f t="shared" si="168"/>
        <v>133.74858286542391</v>
      </c>
      <c r="AC70" s="186">
        <f t="shared" si="169"/>
        <v>133.74858286542394</v>
      </c>
    </row>
    <row r="72" spans="2:31" x14ac:dyDescent="0.3">
      <c r="X72" s="401"/>
      <c r="Y72" s="401"/>
      <c r="Z72" s="401"/>
      <c r="AA72" s="401"/>
      <c r="AB72" s="402"/>
      <c r="AC72" s="402"/>
    </row>
    <row r="73" spans="2:31" ht="15" customHeight="1" x14ac:dyDescent="0.3">
      <c r="W73" s="401"/>
      <c r="X73" s="401"/>
      <c r="Y73" s="401"/>
      <c r="Z73" s="401"/>
      <c r="AA73" s="401"/>
      <c r="AB73" s="402"/>
      <c r="AC73" s="402"/>
    </row>
    <row r="74" spans="2:31" s="35" customFormat="1" x14ac:dyDescent="0.3">
      <c r="W74" s="401"/>
      <c r="X74" s="32"/>
      <c r="Y74" s="32"/>
      <c r="Z74" s="32"/>
      <c r="AA74" s="32"/>
      <c r="AB74" s="32"/>
      <c r="AC74" s="32"/>
      <c r="AD74" s="315"/>
      <c r="AE74" s="315"/>
    </row>
    <row r="119" ht="13.5" customHeight="1" x14ac:dyDescent="0.3"/>
  </sheetData>
  <sheetProtection sheet="1" objects="1" scenarios="1" formatCells="0" formatColumns="0" formatRows="0" sort="0" autoFilter="0"/>
  <autoFilter ref="B5:U70" xr:uid="{DF55C41C-CB75-4CC6-8CF8-B72C31F8B4B7}"/>
  <mergeCells count="24">
    <mergeCell ref="X4:Y4"/>
    <mergeCell ref="Z4:AA4"/>
    <mergeCell ref="AB4:AC4"/>
    <mergeCell ref="X3:AC3"/>
    <mergeCell ref="B3:B5"/>
    <mergeCell ref="C3:C5"/>
    <mergeCell ref="D3:D5"/>
    <mergeCell ref="E3:E5"/>
    <mergeCell ref="R3:R5"/>
    <mergeCell ref="U3:U5"/>
    <mergeCell ref="T3:T5"/>
    <mergeCell ref="F3:G3"/>
    <mergeCell ref="F4:G4"/>
    <mergeCell ref="H3:I3"/>
    <mergeCell ref="N3:O3"/>
    <mergeCell ref="P3:Q3"/>
    <mergeCell ref="S3:S5"/>
    <mergeCell ref="H4:I4"/>
    <mergeCell ref="N4:O4"/>
    <mergeCell ref="P4:Q4"/>
    <mergeCell ref="L3:M3"/>
    <mergeCell ref="L4:M4"/>
    <mergeCell ref="J3:K3"/>
    <mergeCell ref="J4:K4"/>
  </mergeCells>
  <conditionalFormatting sqref="H26:I29 H57:I57 H61:I64">
    <cfRule type="cellIs" dxfId="55" priority="91" operator="greaterThan">
      <formula>10000</formula>
    </cfRule>
    <cfRule type="cellIs" dxfId="54" priority="89" operator="between">
      <formula>1</formula>
      <formula>10</formula>
    </cfRule>
  </conditionalFormatting>
  <conditionalFormatting sqref="H26:I29">
    <cfRule type="cellIs" dxfId="53" priority="86" operator="equal">
      <formula>0</formula>
    </cfRule>
  </conditionalFormatting>
  <conditionalFormatting sqref="H41:I41 H48:I48 H50:I60 H63:I70">
    <cfRule type="cellIs" dxfId="52" priority="21" operator="lessThanOrEqual">
      <formula>0.1</formula>
    </cfRule>
    <cfRule type="containsBlanks" dxfId="51" priority="22" stopIfTrue="1">
      <formula>LEN(TRIM(H41))=0</formula>
    </cfRule>
    <cfRule type="cellIs" dxfId="50" priority="17" operator="greaterThanOrEqual">
      <formula>10000</formula>
    </cfRule>
    <cfRule type="cellIs" dxfId="49" priority="18" operator="greaterThanOrEqual">
      <formula>10</formula>
    </cfRule>
    <cfRule type="cellIs" dxfId="48" priority="20" operator="between">
      <formula>0.1</formula>
      <formula>0.999</formula>
    </cfRule>
  </conditionalFormatting>
  <conditionalFormatting sqref="H41:I41 H48:I48 H50:I70">
    <cfRule type="cellIs" dxfId="47" priority="23" operator="equal">
      <formula>0</formula>
    </cfRule>
  </conditionalFormatting>
  <conditionalFormatting sqref="H42:I60">
    <cfRule type="cellIs" dxfId="46" priority="2" operator="between">
      <formula>0.1</formula>
      <formula>0.999</formula>
    </cfRule>
    <cfRule type="cellIs" dxfId="45" priority="3" operator="between">
      <formula>1</formula>
      <formula>9.999</formula>
    </cfRule>
    <cfRule type="cellIs" dxfId="44" priority="4" operator="between">
      <formula>10</formula>
      <formula>9999.999</formula>
    </cfRule>
    <cfRule type="expression" dxfId="43" priority="5">
      <formula>"&gt;=10000"</formula>
    </cfRule>
    <cfRule type="cellIs" dxfId="42" priority="1" operator="lessThan">
      <formula>0.1</formula>
    </cfRule>
  </conditionalFormatting>
  <conditionalFormatting sqref="H48:I48 H50:I60 H41:I41 H63:I70">
    <cfRule type="cellIs" dxfId="41" priority="19" operator="between">
      <formula>1</formula>
      <formula>9.999</formula>
    </cfRule>
  </conditionalFormatting>
  <conditionalFormatting sqref="H57:I57 H61:I64 H26:I29">
    <cfRule type="cellIs" dxfId="40" priority="90" operator="greaterThan">
      <formula>10</formula>
    </cfRule>
  </conditionalFormatting>
  <conditionalFormatting sqref="H25:K29 N25:Q29 H36:K60 N36:Q70 J59:K70">
    <cfRule type="cellIs" dxfId="39" priority="169" operator="lessThan">
      <formula>0.01</formula>
    </cfRule>
    <cfRule type="cellIs" dxfId="38" priority="170" operator="between">
      <formula>0.01</formula>
      <formula>1</formula>
    </cfRule>
    <cfRule type="cellIs" dxfId="37" priority="171" operator="greaterThanOrEqual">
      <formula>1</formula>
    </cfRule>
  </conditionalFormatting>
  <conditionalFormatting sqref="H6:Q35 H36:I41 H45:I64">
    <cfRule type="cellIs" dxfId="36" priority="141" operator="greaterThanOrEqual">
      <formula>10</formula>
    </cfRule>
    <cfRule type="cellIs" dxfId="35" priority="143" operator="between">
      <formula>0.1</formula>
      <formula>0.999</formula>
    </cfRule>
    <cfRule type="cellIs" dxfId="34" priority="144" operator="lessThanOrEqual">
      <formula>0.1</formula>
    </cfRule>
    <cfRule type="containsBlanks" dxfId="33" priority="145" stopIfTrue="1">
      <formula>LEN(TRIM(H6))=0</formula>
    </cfRule>
    <cfRule type="cellIs" dxfId="32" priority="146" operator="equal">
      <formula>0</formula>
    </cfRule>
  </conditionalFormatting>
  <conditionalFormatting sqref="H6:Q35 H45:I64 H36:I41">
    <cfRule type="cellIs" dxfId="31" priority="140" operator="greaterThanOrEqual">
      <formula>10000</formula>
    </cfRule>
    <cfRule type="cellIs" dxfId="30" priority="142" operator="between">
      <formula>1</formula>
      <formula>9.999</formula>
    </cfRule>
  </conditionalFormatting>
  <conditionalFormatting sqref="H25:Q29 H36:Q60 J59:Q70">
    <cfRule type="cellIs" dxfId="29" priority="166" operator="between">
      <formula>1</formula>
      <formula>9.999</formula>
    </cfRule>
    <cfRule type="cellIs" dxfId="28" priority="167" operator="between">
      <formula>10</formula>
      <formula>9999.999</formula>
    </cfRule>
    <cfRule type="expression" dxfId="27" priority="168">
      <formula>"&gt;=10000"</formula>
    </cfRule>
  </conditionalFormatting>
  <conditionalFormatting sqref="H28:Q29">
    <cfRule type="cellIs" dxfId="26" priority="164" operator="lessThan">
      <formula>0.1</formula>
    </cfRule>
    <cfRule type="cellIs" dxfId="25" priority="165" operator="between">
      <formula>0.1</formula>
      <formula>0.999</formula>
    </cfRule>
  </conditionalFormatting>
  <conditionalFormatting sqref="H36:Q60 H61:I64 H25:Q29 J59:Q70">
    <cfRule type="cellIs" dxfId="24" priority="87" operator="lessThan">
      <formula>0.1</formula>
    </cfRule>
    <cfRule type="cellIs" dxfId="23" priority="88" operator="between">
      <formula>0.1</formula>
      <formula>0.999</formula>
    </cfRule>
  </conditionalFormatting>
  <conditionalFormatting sqref="X6:AC70">
    <cfRule type="expression" dxfId="22" priority="40">
      <formula>X6&lt;X$2</formula>
    </cfRule>
    <cfRule type="cellIs" dxfId="21" priority="41" operator="greaterThanOrEqual">
      <formula>10000</formula>
    </cfRule>
    <cfRule type="cellIs" dxfId="20" priority="42" operator="greaterThanOrEqual">
      <formula>10</formula>
    </cfRule>
    <cfRule type="cellIs" dxfId="19" priority="43" operator="between">
      <formula>1</formula>
      <formula>9.999</formula>
    </cfRule>
    <cfRule type="cellIs" dxfId="18" priority="44" operator="between">
      <formula>0.1</formula>
      <formula>0.999</formula>
    </cfRule>
    <cfRule type="cellIs" dxfId="17" priority="45" operator="lessThanOrEqual">
      <formula>0.1</formula>
    </cfRule>
    <cfRule type="cellIs" dxfId="16" priority="47" operator="equal">
      <formula>0</formula>
    </cfRule>
    <cfRule type="containsBlanks" dxfId="15" priority="46" stopIfTrue="1">
      <formula>LEN(TRIM(X6))=0</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5A60F-8C65-40FB-9D8B-BCD9A6603F89}">
  <sheetPr codeName="Sheet16"/>
  <dimension ref="B1:Q59"/>
  <sheetViews>
    <sheetView workbookViewId="0"/>
  </sheetViews>
  <sheetFormatPr defaultColWidth="9.1796875" defaultRowHeight="13" x14ac:dyDescent="0.3"/>
  <cols>
    <col min="1" max="1" width="2.54296875" style="32" customWidth="1"/>
    <col min="2" max="2" width="7.7265625" style="32" customWidth="1"/>
    <col min="3" max="3" width="75.26953125" style="355" bestFit="1" customWidth="1"/>
    <col min="4" max="4" width="12.81640625" style="32" customWidth="1"/>
    <col min="5" max="5" width="13.54296875" style="32" bestFit="1" customWidth="1"/>
    <col min="6" max="9" width="13.54296875" style="32" customWidth="1"/>
    <col min="10" max="10" width="13.26953125" style="32" customWidth="1"/>
    <col min="11" max="11" width="46.1796875" style="355" customWidth="1"/>
    <col min="12" max="12" width="1.7265625" style="32" customWidth="1"/>
    <col min="13" max="13" width="9" style="32" bestFit="1" customWidth="1"/>
    <col min="14" max="15" width="18.26953125" style="32" customWidth="1"/>
    <col min="16" max="18" width="9.1796875" style="32"/>
    <col min="19" max="19" width="52.453125" style="32" bestFit="1" customWidth="1"/>
    <col min="20" max="20" width="10.7265625" style="32" customWidth="1"/>
    <col min="21" max="26" width="9.1796875" style="32"/>
    <col min="27" max="27" width="72.7265625" style="32" bestFit="1" customWidth="1"/>
    <col min="28" max="28" width="14.26953125" style="32" bestFit="1" customWidth="1"/>
    <col min="29" max="16384" width="9.1796875" style="32"/>
  </cols>
  <sheetData>
    <row r="1" spans="2:17" x14ac:dyDescent="0.3">
      <c r="M1" s="32" t="s">
        <v>72</v>
      </c>
      <c r="N1" s="316">
        <f>'Health Data'!$G$7</f>
        <v>2000</v>
      </c>
      <c r="O1" s="316">
        <f>'Health Data'!$G$7</f>
        <v>2000</v>
      </c>
    </row>
    <row r="2" spans="2:17" ht="13.5" thickBot="1" x14ac:dyDescent="0.35">
      <c r="M2" s="32" t="s">
        <v>282</v>
      </c>
      <c r="N2" s="318">
        <f>'Health Data'!$H$7</f>
        <v>30</v>
      </c>
      <c r="O2" s="318">
        <f>'Health Data'!$H$7</f>
        <v>30</v>
      </c>
    </row>
    <row r="3" spans="2:17" ht="13.5" customHeight="1" thickBot="1" x14ac:dyDescent="0.35">
      <c r="B3" s="403" t="s">
        <v>89</v>
      </c>
      <c r="C3" s="404" t="s">
        <v>57</v>
      </c>
      <c r="D3" s="404" t="s">
        <v>63</v>
      </c>
      <c r="E3" s="404" t="s">
        <v>304</v>
      </c>
      <c r="F3" s="358" t="s">
        <v>341</v>
      </c>
      <c r="G3" s="358"/>
      <c r="H3" s="405" t="s">
        <v>342</v>
      </c>
      <c r="I3" s="406" t="s">
        <v>343</v>
      </c>
      <c r="J3" s="404" t="s">
        <v>307</v>
      </c>
      <c r="K3" s="360" t="s">
        <v>309</v>
      </c>
      <c r="L3" s="31"/>
      <c r="N3" s="322" t="s">
        <v>285</v>
      </c>
      <c r="O3" s="328"/>
    </row>
    <row r="4" spans="2:17" ht="13.5" thickBot="1" x14ac:dyDescent="0.35">
      <c r="B4" s="407"/>
      <c r="C4" s="408"/>
      <c r="D4" s="408"/>
      <c r="E4" s="408"/>
      <c r="F4" s="409" t="s">
        <v>344</v>
      </c>
      <c r="G4" s="410"/>
      <c r="H4" s="411"/>
      <c r="I4" s="412"/>
      <c r="J4" s="408"/>
      <c r="K4" s="369"/>
      <c r="L4" s="31"/>
      <c r="N4" s="370" t="s">
        <v>345</v>
      </c>
      <c r="O4" s="372"/>
    </row>
    <row r="5" spans="2:17" ht="26" x14ac:dyDescent="0.3">
      <c r="B5" s="413"/>
      <c r="C5" s="414"/>
      <c r="D5" s="414"/>
      <c r="E5" s="414"/>
      <c r="F5" s="379" t="s">
        <v>71</v>
      </c>
      <c r="G5" s="415" t="s">
        <v>69</v>
      </c>
      <c r="H5" s="416"/>
      <c r="I5" s="417"/>
      <c r="J5" s="414"/>
      <c r="K5" s="418"/>
      <c r="L5" s="35"/>
      <c r="N5" s="378" t="s">
        <v>71</v>
      </c>
      <c r="O5" s="380" t="s">
        <v>69</v>
      </c>
      <c r="P5" s="355"/>
      <c r="Q5" s="355"/>
    </row>
    <row r="6" spans="2:17" s="35" customFormat="1" x14ac:dyDescent="0.3">
      <c r="B6" s="382" t="s">
        <v>106</v>
      </c>
      <c r="C6" s="383" t="s">
        <v>319</v>
      </c>
      <c r="D6" s="384" t="s">
        <v>68</v>
      </c>
      <c r="E6" s="385" t="s">
        <v>346</v>
      </c>
      <c r="F6" s="343" t="s">
        <v>86</v>
      </c>
      <c r="G6" s="343" t="s">
        <v>86</v>
      </c>
      <c r="H6" s="343" t="s">
        <v>86</v>
      </c>
      <c r="I6" s="343" t="s">
        <v>86</v>
      </c>
      <c r="J6" s="386">
        <v>0</v>
      </c>
      <c r="K6" s="419"/>
      <c r="L6" s="32"/>
      <c r="N6" s="342" t="str">
        <f>IF(F6="n/a", "n/a", N$1/F6)</f>
        <v>n/a</v>
      </c>
      <c r="O6" s="420" t="str">
        <f>IF(G6="n/a", "n/a", O$1/G6)</f>
        <v>n/a</v>
      </c>
      <c r="P6" s="421"/>
      <c r="Q6" s="421"/>
    </row>
    <row r="7" spans="2:17" s="35" customFormat="1" x14ac:dyDescent="0.3">
      <c r="B7" s="382" t="s">
        <v>113</v>
      </c>
      <c r="C7" s="383" t="s">
        <v>322</v>
      </c>
      <c r="D7" s="384" t="s">
        <v>68</v>
      </c>
      <c r="E7" s="385" t="s">
        <v>346</v>
      </c>
      <c r="F7" s="343" t="s">
        <v>86</v>
      </c>
      <c r="G7" s="343" t="s">
        <v>86</v>
      </c>
      <c r="H7" s="343" t="s">
        <v>86</v>
      </c>
      <c r="I7" s="343" t="s">
        <v>86</v>
      </c>
      <c r="J7" s="386">
        <v>0</v>
      </c>
      <c r="K7" s="419"/>
      <c r="L7" s="32"/>
      <c r="N7" s="342" t="str">
        <f t="shared" ref="N7:N55" si="0">IF(F7="n/a", "n/a", N$1/F7)</f>
        <v>n/a</v>
      </c>
      <c r="O7" s="420" t="str">
        <f t="shared" ref="O7:O55" si="1">IF(G7="n/a", "n/a", O$1/G7)</f>
        <v>n/a</v>
      </c>
      <c r="P7" s="421"/>
      <c r="Q7" s="421"/>
    </row>
    <row r="8" spans="2:17" s="35" customFormat="1" x14ac:dyDescent="0.3">
      <c r="B8" s="382" t="s">
        <v>114</v>
      </c>
      <c r="C8" s="390" t="s">
        <v>323</v>
      </c>
      <c r="D8" s="384" t="s">
        <v>68</v>
      </c>
      <c r="E8" s="385" t="s">
        <v>346</v>
      </c>
      <c r="F8" s="343" t="s">
        <v>86</v>
      </c>
      <c r="G8" s="343" t="s">
        <v>86</v>
      </c>
      <c r="H8" s="343" t="s">
        <v>86</v>
      </c>
      <c r="I8" s="343" t="s">
        <v>86</v>
      </c>
      <c r="J8" s="386">
        <v>0</v>
      </c>
      <c r="K8" s="419"/>
      <c r="L8" s="32"/>
      <c r="N8" s="342" t="str">
        <f t="shared" si="0"/>
        <v>n/a</v>
      </c>
      <c r="O8" s="420" t="str">
        <f t="shared" si="1"/>
        <v>n/a</v>
      </c>
      <c r="P8" s="421"/>
      <c r="Q8" s="421"/>
    </row>
    <row r="9" spans="2:17" s="35" customFormat="1" x14ac:dyDescent="0.3">
      <c r="B9" s="382" t="s">
        <v>115</v>
      </c>
      <c r="C9" s="383" t="s">
        <v>324</v>
      </c>
      <c r="D9" s="384" t="s">
        <v>68</v>
      </c>
      <c r="E9" s="385" t="s">
        <v>346</v>
      </c>
      <c r="F9" s="343" t="s">
        <v>86</v>
      </c>
      <c r="G9" s="343" t="s">
        <v>86</v>
      </c>
      <c r="H9" s="343" t="s">
        <v>86</v>
      </c>
      <c r="I9" s="343" t="s">
        <v>86</v>
      </c>
      <c r="J9" s="386">
        <v>0</v>
      </c>
      <c r="K9" s="419"/>
      <c r="L9" s="32"/>
      <c r="N9" s="342" t="str">
        <f t="shared" si="0"/>
        <v>n/a</v>
      </c>
      <c r="O9" s="420" t="str">
        <f t="shared" si="1"/>
        <v>n/a</v>
      </c>
      <c r="P9" s="421"/>
      <c r="Q9" s="421"/>
    </row>
    <row r="10" spans="2:17" s="35" customFormat="1" x14ac:dyDescent="0.3">
      <c r="B10" s="382" t="s">
        <v>116</v>
      </c>
      <c r="C10" s="383" t="s">
        <v>325</v>
      </c>
      <c r="D10" s="384" t="s">
        <v>68</v>
      </c>
      <c r="E10" s="385" t="s">
        <v>346</v>
      </c>
      <c r="F10" s="343" t="s">
        <v>86</v>
      </c>
      <c r="G10" s="343" t="s">
        <v>86</v>
      </c>
      <c r="H10" s="343" t="s">
        <v>86</v>
      </c>
      <c r="I10" s="343" t="s">
        <v>86</v>
      </c>
      <c r="J10" s="386">
        <v>0</v>
      </c>
      <c r="K10" s="419"/>
      <c r="L10" s="32"/>
      <c r="N10" s="342" t="str">
        <f t="shared" si="0"/>
        <v>n/a</v>
      </c>
      <c r="O10" s="420" t="str">
        <f t="shared" si="1"/>
        <v>n/a</v>
      </c>
      <c r="P10" s="421"/>
      <c r="Q10" s="421"/>
    </row>
    <row r="11" spans="2:17" s="35" customFormat="1" x14ac:dyDescent="0.3">
      <c r="B11" s="382" t="s">
        <v>119</v>
      </c>
      <c r="C11" s="383" t="s">
        <v>121</v>
      </c>
      <c r="D11" s="384" t="s">
        <v>68</v>
      </c>
      <c r="E11" s="385" t="s">
        <v>346</v>
      </c>
      <c r="F11" s="343" t="s">
        <v>86</v>
      </c>
      <c r="G11" s="343" t="s">
        <v>86</v>
      </c>
      <c r="H11" s="343" t="s">
        <v>86</v>
      </c>
      <c r="I11" s="343" t="s">
        <v>86</v>
      </c>
      <c r="J11" s="386">
        <v>0</v>
      </c>
      <c r="K11" s="419"/>
      <c r="L11" s="32"/>
      <c r="N11" s="342" t="str">
        <f t="shared" si="0"/>
        <v>n/a</v>
      </c>
      <c r="O11" s="420" t="str">
        <f t="shared" si="1"/>
        <v>n/a</v>
      </c>
      <c r="P11" s="421"/>
      <c r="Q11" s="421"/>
    </row>
    <row r="12" spans="2:17" s="35" customFormat="1" x14ac:dyDescent="0.3">
      <c r="B12" s="382" t="s">
        <v>122</v>
      </c>
      <c r="C12" s="383" t="s">
        <v>61</v>
      </c>
      <c r="D12" s="384" t="s">
        <v>68</v>
      </c>
      <c r="E12" s="385" t="s">
        <v>346</v>
      </c>
      <c r="F12" s="343" t="s">
        <v>86</v>
      </c>
      <c r="G12" s="343" t="s">
        <v>86</v>
      </c>
      <c r="H12" s="343" t="s">
        <v>86</v>
      </c>
      <c r="I12" s="343" t="s">
        <v>86</v>
      </c>
      <c r="J12" s="386">
        <v>0</v>
      </c>
      <c r="K12" s="419"/>
      <c r="L12" s="32"/>
      <c r="N12" s="342" t="str">
        <f t="shared" si="0"/>
        <v>n/a</v>
      </c>
      <c r="O12" s="420" t="str">
        <f t="shared" si="1"/>
        <v>n/a</v>
      </c>
      <c r="P12" s="421"/>
      <c r="Q12" s="421"/>
    </row>
    <row r="13" spans="2:17" s="35" customFormat="1" x14ac:dyDescent="0.3">
      <c r="B13" s="382" t="s">
        <v>123</v>
      </c>
      <c r="C13" s="383" t="s">
        <v>124</v>
      </c>
      <c r="D13" s="384" t="s">
        <v>68</v>
      </c>
      <c r="E13" s="385" t="s">
        <v>346</v>
      </c>
      <c r="F13" s="343" t="s">
        <v>86</v>
      </c>
      <c r="G13" s="343" t="s">
        <v>86</v>
      </c>
      <c r="H13" s="343" t="s">
        <v>86</v>
      </c>
      <c r="I13" s="343" t="s">
        <v>86</v>
      </c>
      <c r="J13" s="386">
        <v>0</v>
      </c>
      <c r="K13" s="419"/>
      <c r="L13" s="32"/>
      <c r="N13" s="342" t="str">
        <f t="shared" si="0"/>
        <v>n/a</v>
      </c>
      <c r="O13" s="420" t="str">
        <f t="shared" si="1"/>
        <v>n/a</v>
      </c>
      <c r="P13" s="421"/>
      <c r="Q13" s="421"/>
    </row>
    <row r="14" spans="2:17" s="35" customFormat="1" x14ac:dyDescent="0.3">
      <c r="B14" s="382" t="s">
        <v>125</v>
      </c>
      <c r="C14" s="383" t="s">
        <v>126</v>
      </c>
      <c r="D14" s="384" t="s">
        <v>68</v>
      </c>
      <c r="E14" s="385" t="s">
        <v>346</v>
      </c>
      <c r="F14" s="343" t="s">
        <v>86</v>
      </c>
      <c r="G14" s="343" t="s">
        <v>86</v>
      </c>
      <c r="H14" s="343" t="s">
        <v>86</v>
      </c>
      <c r="I14" s="343" t="s">
        <v>86</v>
      </c>
      <c r="J14" s="386">
        <v>0</v>
      </c>
      <c r="K14" s="419"/>
      <c r="L14" s="32"/>
      <c r="N14" s="342" t="str">
        <f t="shared" si="0"/>
        <v>n/a</v>
      </c>
      <c r="O14" s="420" t="str">
        <f t="shared" si="1"/>
        <v>n/a</v>
      </c>
      <c r="P14" s="421"/>
      <c r="Q14" s="421"/>
    </row>
    <row r="15" spans="2:17" s="35" customFormat="1" x14ac:dyDescent="0.3">
      <c r="B15" s="382" t="s">
        <v>127</v>
      </c>
      <c r="C15" s="383" t="s">
        <v>128</v>
      </c>
      <c r="D15" s="384" t="s">
        <v>68</v>
      </c>
      <c r="E15" s="385" t="s">
        <v>346</v>
      </c>
      <c r="F15" s="343" t="s">
        <v>86</v>
      </c>
      <c r="G15" s="343" t="s">
        <v>86</v>
      </c>
      <c r="H15" s="343" t="s">
        <v>86</v>
      </c>
      <c r="I15" s="343" t="s">
        <v>86</v>
      </c>
      <c r="J15" s="386">
        <v>0</v>
      </c>
      <c r="K15" s="419"/>
      <c r="L15" s="32"/>
      <c r="N15" s="342" t="str">
        <f t="shared" si="0"/>
        <v>n/a</v>
      </c>
      <c r="O15" s="420" t="str">
        <f t="shared" si="1"/>
        <v>n/a</v>
      </c>
      <c r="P15" s="421"/>
      <c r="Q15" s="421"/>
    </row>
    <row r="16" spans="2:17" s="35" customFormat="1" x14ac:dyDescent="0.3">
      <c r="B16" s="382" t="s">
        <v>516</v>
      </c>
      <c r="C16" s="383" t="s">
        <v>517</v>
      </c>
      <c r="D16" s="384" t="s">
        <v>68</v>
      </c>
      <c r="E16" s="385" t="s">
        <v>346</v>
      </c>
      <c r="F16" s="343">
        <v>9.3000000000000007</v>
      </c>
      <c r="G16" s="343">
        <v>81.399999999999977</v>
      </c>
      <c r="H16" s="343">
        <v>30</v>
      </c>
      <c r="I16" s="343">
        <v>50</v>
      </c>
      <c r="J16" s="386">
        <v>4</v>
      </c>
      <c r="K16" s="419" t="s">
        <v>329</v>
      </c>
      <c r="L16" s="32"/>
      <c r="M16" s="391"/>
      <c r="N16" s="342">
        <f t="shared" si="0"/>
        <v>215.05376344086019</v>
      </c>
      <c r="O16" s="420">
        <f t="shared" si="1"/>
        <v>24.570024570024575</v>
      </c>
      <c r="P16" s="421"/>
      <c r="Q16" s="421"/>
    </row>
    <row r="17" spans="2:17" s="35" customFormat="1" x14ac:dyDescent="0.3">
      <c r="B17" s="382" t="s">
        <v>133</v>
      </c>
      <c r="C17" s="383" t="s">
        <v>134</v>
      </c>
      <c r="D17" s="384" t="s">
        <v>68</v>
      </c>
      <c r="E17" s="385" t="s">
        <v>346</v>
      </c>
      <c r="F17" s="343" t="s">
        <v>86</v>
      </c>
      <c r="G17" s="343" t="s">
        <v>86</v>
      </c>
      <c r="H17" s="343" t="s">
        <v>86</v>
      </c>
      <c r="I17" s="343" t="s">
        <v>86</v>
      </c>
      <c r="J17" s="386">
        <v>0</v>
      </c>
      <c r="K17" s="419"/>
      <c r="L17" s="32"/>
      <c r="N17" s="342" t="str">
        <f t="shared" si="0"/>
        <v>n/a</v>
      </c>
      <c r="O17" s="420" t="str">
        <f t="shared" si="1"/>
        <v>n/a</v>
      </c>
      <c r="P17" s="421"/>
      <c r="Q17" s="421"/>
    </row>
    <row r="18" spans="2:17" s="35" customFormat="1" x14ac:dyDescent="0.3">
      <c r="B18" s="382" t="s">
        <v>136</v>
      </c>
      <c r="C18" s="390" t="s">
        <v>139</v>
      </c>
      <c r="D18" s="384" t="s">
        <v>68</v>
      </c>
      <c r="E18" s="385" t="s">
        <v>346</v>
      </c>
      <c r="F18" s="343" t="s">
        <v>86</v>
      </c>
      <c r="G18" s="343" t="s">
        <v>86</v>
      </c>
      <c r="H18" s="343" t="s">
        <v>86</v>
      </c>
      <c r="I18" s="343" t="s">
        <v>86</v>
      </c>
      <c r="J18" s="386">
        <v>0</v>
      </c>
      <c r="K18" s="419"/>
      <c r="L18" s="32"/>
      <c r="N18" s="342" t="str">
        <f t="shared" si="0"/>
        <v>n/a</v>
      </c>
      <c r="O18" s="420" t="str">
        <f t="shared" si="1"/>
        <v>n/a</v>
      </c>
      <c r="P18" s="421"/>
      <c r="Q18" s="421"/>
    </row>
    <row r="19" spans="2:17" s="35" customFormat="1" x14ac:dyDescent="0.3">
      <c r="B19" s="382" t="s">
        <v>140</v>
      </c>
      <c r="C19" s="383" t="s">
        <v>141</v>
      </c>
      <c r="D19" s="384" t="s">
        <v>68</v>
      </c>
      <c r="E19" s="385" t="s">
        <v>346</v>
      </c>
      <c r="F19" s="343" t="s">
        <v>86</v>
      </c>
      <c r="G19" s="343" t="s">
        <v>86</v>
      </c>
      <c r="H19" s="343" t="s">
        <v>86</v>
      </c>
      <c r="I19" s="343" t="s">
        <v>86</v>
      </c>
      <c r="J19" s="386">
        <v>0</v>
      </c>
      <c r="K19" s="419"/>
      <c r="L19" s="32"/>
      <c r="N19" s="342" t="str">
        <f t="shared" si="0"/>
        <v>n/a</v>
      </c>
      <c r="O19" s="420" t="str">
        <f t="shared" si="1"/>
        <v>n/a</v>
      </c>
      <c r="P19" s="421"/>
      <c r="Q19" s="421"/>
    </row>
    <row r="20" spans="2:17" s="35" customFormat="1" x14ac:dyDescent="0.3">
      <c r="B20" s="382" t="s">
        <v>142</v>
      </c>
      <c r="C20" s="383" t="s">
        <v>143</v>
      </c>
      <c r="D20" s="384" t="s">
        <v>68</v>
      </c>
      <c r="E20" s="385" t="s">
        <v>346</v>
      </c>
      <c r="F20" s="343" t="s">
        <v>86</v>
      </c>
      <c r="G20" s="343" t="s">
        <v>86</v>
      </c>
      <c r="H20" s="343" t="s">
        <v>86</v>
      </c>
      <c r="I20" s="343" t="s">
        <v>86</v>
      </c>
      <c r="J20" s="386">
        <v>0</v>
      </c>
      <c r="K20" s="419"/>
      <c r="L20" s="32"/>
      <c r="N20" s="342" t="str">
        <f t="shared" si="0"/>
        <v>n/a</v>
      </c>
      <c r="O20" s="420" t="str">
        <f t="shared" si="1"/>
        <v>n/a</v>
      </c>
      <c r="P20" s="421"/>
      <c r="Q20" s="421"/>
    </row>
    <row r="21" spans="2:17" s="35" customFormat="1" x14ac:dyDescent="0.3">
      <c r="B21" s="382" t="s">
        <v>144</v>
      </c>
      <c r="C21" s="383" t="s">
        <v>145</v>
      </c>
      <c r="D21" s="384" t="s">
        <v>68</v>
      </c>
      <c r="E21" s="385" t="s">
        <v>346</v>
      </c>
      <c r="F21" s="343" t="s">
        <v>86</v>
      </c>
      <c r="G21" s="343" t="s">
        <v>86</v>
      </c>
      <c r="H21" s="343" t="s">
        <v>86</v>
      </c>
      <c r="I21" s="343" t="s">
        <v>86</v>
      </c>
      <c r="J21" s="386">
        <v>0</v>
      </c>
      <c r="K21" s="419"/>
      <c r="L21" s="32"/>
      <c r="N21" s="342" t="str">
        <f t="shared" si="0"/>
        <v>n/a</v>
      </c>
      <c r="O21" s="420" t="str">
        <f t="shared" si="1"/>
        <v>n/a</v>
      </c>
      <c r="P21" s="421"/>
      <c r="Q21" s="421"/>
    </row>
    <row r="22" spans="2:17" s="35" customFormat="1" x14ac:dyDescent="0.3">
      <c r="B22" s="382" t="s">
        <v>146</v>
      </c>
      <c r="C22" s="383" t="s">
        <v>518</v>
      </c>
      <c r="D22" s="384" t="s">
        <v>68</v>
      </c>
      <c r="E22" s="385" t="s">
        <v>346</v>
      </c>
      <c r="F22" s="343">
        <v>295.08124337689861</v>
      </c>
      <c r="G22" s="343">
        <v>469.97085835393847</v>
      </c>
      <c r="H22" s="343">
        <v>10</v>
      </c>
      <c r="I22" s="343">
        <v>25</v>
      </c>
      <c r="J22" s="386">
        <v>2</v>
      </c>
      <c r="K22" s="419" t="s">
        <v>329</v>
      </c>
      <c r="L22" s="32"/>
      <c r="N22" s="342">
        <f t="shared" si="0"/>
        <v>6.7777944037109084</v>
      </c>
      <c r="O22" s="420">
        <f t="shared" si="1"/>
        <v>4.2555830099869416</v>
      </c>
      <c r="P22" s="422"/>
      <c r="Q22" s="422"/>
    </row>
    <row r="23" spans="2:17" s="35" customFormat="1" x14ac:dyDescent="0.3">
      <c r="B23" s="382" t="s">
        <v>148</v>
      </c>
      <c r="C23" s="390" t="s">
        <v>150</v>
      </c>
      <c r="D23" s="384" t="s">
        <v>68</v>
      </c>
      <c r="E23" s="385" t="s">
        <v>346</v>
      </c>
      <c r="F23" s="343" t="s">
        <v>86</v>
      </c>
      <c r="G23" s="343" t="s">
        <v>86</v>
      </c>
      <c r="H23" s="343" t="s">
        <v>86</v>
      </c>
      <c r="I23" s="343" t="s">
        <v>86</v>
      </c>
      <c r="J23" s="386">
        <v>0</v>
      </c>
      <c r="K23" s="419"/>
      <c r="L23" s="32"/>
      <c r="N23" s="342" t="str">
        <f t="shared" si="0"/>
        <v>n/a</v>
      </c>
      <c r="O23" s="420" t="str">
        <f t="shared" si="1"/>
        <v>n/a</v>
      </c>
      <c r="P23" s="422"/>
      <c r="Q23" s="422"/>
    </row>
    <row r="24" spans="2:17" s="35" customFormat="1" x14ac:dyDescent="0.3">
      <c r="B24" s="382" t="s">
        <v>151</v>
      </c>
      <c r="C24" s="383" t="s">
        <v>152</v>
      </c>
      <c r="D24" s="384" t="s">
        <v>68</v>
      </c>
      <c r="E24" s="385" t="s">
        <v>346</v>
      </c>
      <c r="F24" s="343" t="s">
        <v>86</v>
      </c>
      <c r="G24" s="343" t="s">
        <v>86</v>
      </c>
      <c r="H24" s="343" t="s">
        <v>86</v>
      </c>
      <c r="I24" s="343" t="s">
        <v>86</v>
      </c>
      <c r="J24" s="386">
        <v>0</v>
      </c>
      <c r="K24" s="419"/>
      <c r="L24" s="32"/>
      <c r="N24" s="342" t="str">
        <f t="shared" si="0"/>
        <v>n/a</v>
      </c>
      <c r="O24" s="420" t="str">
        <f t="shared" si="1"/>
        <v>n/a</v>
      </c>
      <c r="P24" s="422"/>
      <c r="Q24" s="422"/>
    </row>
    <row r="25" spans="2:17" s="35" customFormat="1" x14ac:dyDescent="0.3">
      <c r="B25" s="382" t="s">
        <v>153</v>
      </c>
      <c r="C25" s="383" t="s">
        <v>154</v>
      </c>
      <c r="D25" s="384" t="s">
        <v>68</v>
      </c>
      <c r="E25" s="385" t="s">
        <v>346</v>
      </c>
      <c r="F25" s="343" t="s">
        <v>86</v>
      </c>
      <c r="G25" s="343" t="s">
        <v>86</v>
      </c>
      <c r="H25" s="343" t="s">
        <v>86</v>
      </c>
      <c r="I25" s="343" t="s">
        <v>86</v>
      </c>
      <c r="J25" s="386">
        <v>0</v>
      </c>
      <c r="K25" s="419"/>
      <c r="L25" s="32"/>
      <c r="N25" s="342" t="str">
        <f t="shared" si="0"/>
        <v>n/a</v>
      </c>
      <c r="O25" s="420" t="str">
        <f t="shared" si="1"/>
        <v>n/a</v>
      </c>
      <c r="P25" s="422"/>
      <c r="Q25" s="422"/>
    </row>
    <row r="26" spans="2:17" s="35" customFormat="1" x14ac:dyDescent="0.3">
      <c r="B26" s="382" t="s">
        <v>155</v>
      </c>
      <c r="C26" s="383" t="s">
        <v>156</v>
      </c>
      <c r="D26" s="384" t="s">
        <v>68</v>
      </c>
      <c r="E26" s="385" t="s">
        <v>346</v>
      </c>
      <c r="F26" s="343" t="s">
        <v>86</v>
      </c>
      <c r="G26" s="343" t="s">
        <v>86</v>
      </c>
      <c r="H26" s="343" t="s">
        <v>86</v>
      </c>
      <c r="I26" s="343" t="s">
        <v>86</v>
      </c>
      <c r="J26" s="386">
        <v>0</v>
      </c>
      <c r="K26" s="419"/>
      <c r="L26" s="32"/>
      <c r="N26" s="342" t="str">
        <f t="shared" si="0"/>
        <v>n/a</v>
      </c>
      <c r="O26" s="420" t="str">
        <f t="shared" si="1"/>
        <v>n/a</v>
      </c>
      <c r="P26" s="422"/>
      <c r="Q26" s="422"/>
    </row>
    <row r="27" spans="2:17" s="35" customFormat="1" x14ac:dyDescent="0.3">
      <c r="B27" s="382" t="s">
        <v>157</v>
      </c>
      <c r="C27" s="390" t="s">
        <v>347</v>
      </c>
      <c r="D27" s="384" t="s">
        <v>68</v>
      </c>
      <c r="E27" s="385" t="s">
        <v>346</v>
      </c>
      <c r="F27" s="343" t="s">
        <v>86</v>
      </c>
      <c r="G27" s="343" t="s">
        <v>86</v>
      </c>
      <c r="H27" s="343" t="s">
        <v>86</v>
      </c>
      <c r="I27" s="343" t="s">
        <v>86</v>
      </c>
      <c r="J27" s="386">
        <v>0</v>
      </c>
      <c r="K27" s="419"/>
      <c r="L27" s="32"/>
      <c r="N27" s="342" t="str">
        <f t="shared" si="0"/>
        <v>n/a</v>
      </c>
      <c r="O27" s="420" t="str">
        <f t="shared" si="1"/>
        <v>n/a</v>
      </c>
      <c r="P27" s="422"/>
      <c r="Q27" s="422"/>
    </row>
    <row r="28" spans="2:17" s="35" customFormat="1" x14ac:dyDescent="0.3">
      <c r="B28" s="382" t="s">
        <v>158</v>
      </c>
      <c r="C28" s="383" t="s">
        <v>159</v>
      </c>
      <c r="D28" s="384" t="s">
        <v>68</v>
      </c>
      <c r="E28" s="385" t="s">
        <v>346</v>
      </c>
      <c r="F28" s="343" t="s">
        <v>86</v>
      </c>
      <c r="G28" s="343" t="s">
        <v>86</v>
      </c>
      <c r="H28" s="343" t="s">
        <v>86</v>
      </c>
      <c r="I28" s="343" t="s">
        <v>86</v>
      </c>
      <c r="J28" s="386">
        <v>0</v>
      </c>
      <c r="K28" s="419"/>
      <c r="L28" s="32"/>
      <c r="N28" s="342" t="str">
        <f t="shared" si="0"/>
        <v>n/a</v>
      </c>
      <c r="O28" s="420" t="str">
        <f t="shared" si="1"/>
        <v>n/a</v>
      </c>
      <c r="P28" s="422"/>
      <c r="Q28" s="422"/>
    </row>
    <row r="29" spans="2:17" s="35" customFormat="1" x14ac:dyDescent="0.3">
      <c r="B29" s="382" t="s">
        <v>160</v>
      </c>
      <c r="C29" s="383" t="s">
        <v>161</v>
      </c>
      <c r="D29" s="384" t="s">
        <v>68</v>
      </c>
      <c r="E29" s="385" t="s">
        <v>346</v>
      </c>
      <c r="F29" s="343" t="s">
        <v>86</v>
      </c>
      <c r="G29" s="343" t="s">
        <v>86</v>
      </c>
      <c r="H29" s="343" t="s">
        <v>86</v>
      </c>
      <c r="I29" s="343" t="s">
        <v>86</v>
      </c>
      <c r="J29" s="386">
        <v>0</v>
      </c>
      <c r="K29" s="419"/>
      <c r="L29" s="32"/>
      <c r="N29" s="342" t="str">
        <f t="shared" si="0"/>
        <v>n/a</v>
      </c>
      <c r="O29" s="420" t="str">
        <f t="shared" si="1"/>
        <v>n/a</v>
      </c>
      <c r="P29" s="422"/>
      <c r="Q29" s="422"/>
    </row>
    <row r="30" spans="2:17" s="35" customFormat="1" x14ac:dyDescent="0.3">
      <c r="B30" s="382" t="s">
        <v>162</v>
      </c>
      <c r="C30" s="383" t="s">
        <v>163</v>
      </c>
      <c r="D30" s="384" t="s">
        <v>68</v>
      </c>
      <c r="E30" s="385" t="s">
        <v>346</v>
      </c>
      <c r="F30" s="343" t="s">
        <v>86</v>
      </c>
      <c r="G30" s="343" t="s">
        <v>86</v>
      </c>
      <c r="H30" s="343" t="s">
        <v>86</v>
      </c>
      <c r="I30" s="343" t="s">
        <v>86</v>
      </c>
      <c r="J30" s="386">
        <v>0</v>
      </c>
      <c r="K30" s="419"/>
      <c r="L30" s="32"/>
      <c r="N30" s="342" t="str">
        <f t="shared" si="0"/>
        <v>n/a</v>
      </c>
      <c r="O30" s="420" t="str">
        <f t="shared" si="1"/>
        <v>n/a</v>
      </c>
      <c r="P30" s="422"/>
      <c r="Q30" s="422"/>
    </row>
    <row r="31" spans="2:17" s="35" customFormat="1" x14ac:dyDescent="0.3">
      <c r="B31" s="382" t="s">
        <v>164</v>
      </c>
      <c r="C31" s="383" t="s">
        <v>165</v>
      </c>
      <c r="D31" s="384" t="s">
        <v>68</v>
      </c>
      <c r="E31" s="385" t="s">
        <v>346</v>
      </c>
      <c r="F31" s="343" t="s">
        <v>86</v>
      </c>
      <c r="G31" s="343" t="s">
        <v>86</v>
      </c>
      <c r="H31" s="343" t="s">
        <v>86</v>
      </c>
      <c r="I31" s="343" t="s">
        <v>86</v>
      </c>
      <c r="J31" s="386">
        <v>0</v>
      </c>
      <c r="K31" s="419"/>
      <c r="L31" s="32"/>
      <c r="N31" s="342" t="str">
        <f t="shared" si="0"/>
        <v>n/a</v>
      </c>
      <c r="O31" s="420" t="str">
        <f t="shared" si="1"/>
        <v>n/a</v>
      </c>
      <c r="P31" s="422"/>
      <c r="Q31" s="422"/>
    </row>
    <row r="32" spans="2:17" s="35" customFormat="1" x14ac:dyDescent="0.3">
      <c r="B32" s="382" t="s">
        <v>166</v>
      </c>
      <c r="C32" s="383" t="s">
        <v>167</v>
      </c>
      <c r="D32" s="384" t="s">
        <v>68</v>
      </c>
      <c r="E32" s="385" t="s">
        <v>346</v>
      </c>
      <c r="F32" s="343" t="s">
        <v>86</v>
      </c>
      <c r="G32" s="343" t="s">
        <v>86</v>
      </c>
      <c r="H32" s="343" t="s">
        <v>86</v>
      </c>
      <c r="I32" s="343" t="s">
        <v>86</v>
      </c>
      <c r="J32" s="386">
        <v>0</v>
      </c>
      <c r="K32" s="419"/>
      <c r="L32" s="32"/>
      <c r="M32" s="391"/>
      <c r="N32" s="342" t="str">
        <f t="shared" si="0"/>
        <v>n/a</v>
      </c>
      <c r="O32" s="420" t="str">
        <f t="shared" si="1"/>
        <v>n/a</v>
      </c>
      <c r="P32" s="422"/>
      <c r="Q32" s="422"/>
    </row>
    <row r="33" spans="2:17" s="35" customFormat="1" x14ac:dyDescent="0.3">
      <c r="B33" s="382" t="s">
        <v>168</v>
      </c>
      <c r="C33" s="383" t="s">
        <v>169</v>
      </c>
      <c r="D33" s="384" t="s">
        <v>68</v>
      </c>
      <c r="E33" s="385" t="s">
        <v>346</v>
      </c>
      <c r="F33" s="343" t="s">
        <v>86</v>
      </c>
      <c r="G33" s="343" t="s">
        <v>86</v>
      </c>
      <c r="H33" s="343" t="s">
        <v>86</v>
      </c>
      <c r="I33" s="343" t="s">
        <v>86</v>
      </c>
      <c r="J33" s="386">
        <v>0</v>
      </c>
      <c r="K33" s="419"/>
      <c r="L33" s="32"/>
      <c r="N33" s="342" t="str">
        <f t="shared" si="0"/>
        <v>n/a</v>
      </c>
      <c r="O33" s="420" t="str">
        <f t="shared" si="1"/>
        <v>n/a</v>
      </c>
      <c r="P33" s="422"/>
      <c r="Q33" s="422"/>
    </row>
    <row r="34" spans="2:17" s="35" customFormat="1" x14ac:dyDescent="0.3">
      <c r="B34" s="382" t="s">
        <v>170</v>
      </c>
      <c r="C34" s="383" t="s">
        <v>171</v>
      </c>
      <c r="D34" s="384" t="s">
        <v>68</v>
      </c>
      <c r="E34" s="385" t="s">
        <v>346</v>
      </c>
      <c r="F34" s="343" t="s">
        <v>86</v>
      </c>
      <c r="G34" s="343" t="s">
        <v>86</v>
      </c>
      <c r="H34" s="343" t="s">
        <v>86</v>
      </c>
      <c r="I34" s="343" t="s">
        <v>86</v>
      </c>
      <c r="J34" s="386">
        <v>0</v>
      </c>
      <c r="K34" s="419"/>
      <c r="L34" s="32"/>
      <c r="N34" s="342" t="str">
        <f t="shared" si="0"/>
        <v>n/a</v>
      </c>
      <c r="O34" s="420" t="str">
        <f t="shared" si="1"/>
        <v>n/a</v>
      </c>
      <c r="P34" s="422"/>
      <c r="Q34" s="422"/>
    </row>
    <row r="35" spans="2:17" s="35" customFormat="1" x14ac:dyDescent="0.3">
      <c r="B35" s="382" t="s">
        <v>205</v>
      </c>
      <c r="C35" s="390" t="s">
        <v>175</v>
      </c>
      <c r="D35" s="384" t="s">
        <v>68</v>
      </c>
      <c r="E35" s="385" t="s">
        <v>346</v>
      </c>
      <c r="F35" s="343">
        <v>4.3182620981985158</v>
      </c>
      <c r="G35" s="343">
        <v>14.120717061109145</v>
      </c>
      <c r="H35" s="343">
        <v>30</v>
      </c>
      <c r="I35" s="343">
        <v>360</v>
      </c>
      <c r="J35" s="386">
        <v>8</v>
      </c>
      <c r="K35" s="419" t="s">
        <v>329</v>
      </c>
      <c r="L35" s="32"/>
      <c r="N35" s="342">
        <f t="shared" si="0"/>
        <v>463.1492842535788</v>
      </c>
      <c r="O35" s="420">
        <f t="shared" si="1"/>
        <v>141.6358667442137</v>
      </c>
      <c r="P35" s="422"/>
      <c r="Q35" s="422"/>
    </row>
    <row r="36" spans="2:17" s="35" customFormat="1" x14ac:dyDescent="0.3">
      <c r="B36" s="382" t="s">
        <v>197</v>
      </c>
      <c r="C36" s="390" t="s">
        <v>331</v>
      </c>
      <c r="D36" s="384" t="s">
        <v>68</v>
      </c>
      <c r="E36" s="385" t="s">
        <v>346</v>
      </c>
      <c r="F36" s="343">
        <v>36.85</v>
      </c>
      <c r="G36" s="343">
        <v>167.31916107382546</v>
      </c>
      <c r="H36" s="343">
        <v>15</v>
      </c>
      <c r="I36" s="343">
        <v>17</v>
      </c>
      <c r="J36" s="386">
        <v>40</v>
      </c>
      <c r="K36" s="419" t="s">
        <v>332</v>
      </c>
      <c r="L36" s="32"/>
      <c r="N36" s="342">
        <f t="shared" si="0"/>
        <v>54.274084124830388</v>
      </c>
      <c r="O36" s="420">
        <f t="shared" si="1"/>
        <v>11.953203608985042</v>
      </c>
      <c r="P36" s="422"/>
      <c r="Q36" s="422"/>
    </row>
    <row r="37" spans="2:17" s="35" customFormat="1" x14ac:dyDescent="0.3">
      <c r="B37" s="382" t="s">
        <v>200</v>
      </c>
      <c r="C37" s="390" t="s">
        <v>333</v>
      </c>
      <c r="D37" s="384" t="s">
        <v>68</v>
      </c>
      <c r="E37" s="385" t="s">
        <v>346</v>
      </c>
      <c r="F37" s="343">
        <v>120.91133874955845</v>
      </c>
      <c r="G37" s="343">
        <v>159.77569763334509</v>
      </c>
      <c r="H37" s="343">
        <v>10</v>
      </c>
      <c r="I37" s="343">
        <v>71</v>
      </c>
      <c r="J37" s="386">
        <v>3</v>
      </c>
      <c r="K37" s="419" t="s">
        <v>329</v>
      </c>
      <c r="L37" s="32"/>
      <c r="M37" s="391"/>
      <c r="N37" s="342">
        <f t="shared" si="0"/>
        <v>16.541045866199241</v>
      </c>
      <c r="O37" s="420">
        <f t="shared" si="1"/>
        <v>12.517548223069697</v>
      </c>
      <c r="P37" s="422"/>
      <c r="Q37" s="422"/>
    </row>
    <row r="38" spans="2:17" s="35" customFormat="1" x14ac:dyDescent="0.3">
      <c r="B38" s="382" t="s">
        <v>202</v>
      </c>
      <c r="C38" s="390" t="s">
        <v>334</v>
      </c>
      <c r="D38" s="384" t="s">
        <v>68</v>
      </c>
      <c r="E38" s="385" t="s">
        <v>346</v>
      </c>
      <c r="F38" s="343" t="s">
        <v>86</v>
      </c>
      <c r="G38" s="343" t="s">
        <v>86</v>
      </c>
      <c r="H38" s="343" t="s">
        <v>86</v>
      </c>
      <c r="I38" s="343" t="s">
        <v>86</v>
      </c>
      <c r="J38" s="386">
        <v>0</v>
      </c>
      <c r="K38" s="419"/>
      <c r="L38" s="32"/>
      <c r="M38" s="391"/>
      <c r="N38" s="342" t="str">
        <f t="shared" si="0"/>
        <v>n/a</v>
      </c>
      <c r="O38" s="420" t="str">
        <f t="shared" si="1"/>
        <v>n/a</v>
      </c>
      <c r="P38" s="422"/>
      <c r="Q38" s="422"/>
    </row>
    <row r="39" spans="2:17" s="35" customFormat="1" x14ac:dyDescent="0.3">
      <c r="B39" s="382" t="s">
        <v>188</v>
      </c>
      <c r="C39" s="390" t="s">
        <v>335</v>
      </c>
      <c r="D39" s="384" t="s">
        <v>68</v>
      </c>
      <c r="E39" s="385" t="s">
        <v>346</v>
      </c>
      <c r="F39" s="343">
        <v>3.8864358883786645</v>
      </c>
      <c r="G39" s="343">
        <v>19.864005651713175</v>
      </c>
      <c r="H39" s="343">
        <v>15</v>
      </c>
      <c r="I39" s="343">
        <v>50</v>
      </c>
      <c r="J39" s="386">
        <v>11</v>
      </c>
      <c r="K39" s="419" t="s">
        <v>329</v>
      </c>
      <c r="L39" s="32"/>
      <c r="M39" s="391"/>
      <c r="N39" s="342">
        <f t="shared" si="0"/>
        <v>514.61031583730971</v>
      </c>
      <c r="O39" s="420">
        <f t="shared" si="1"/>
        <v>100.68462701164755</v>
      </c>
      <c r="P39" s="422"/>
      <c r="Q39" s="422"/>
    </row>
    <row r="40" spans="2:17" s="35" customFormat="1" x14ac:dyDescent="0.3">
      <c r="B40" s="382" t="s">
        <v>192</v>
      </c>
      <c r="C40" s="390" t="s">
        <v>336</v>
      </c>
      <c r="D40" s="384" t="s">
        <v>68</v>
      </c>
      <c r="E40" s="385" t="s">
        <v>346</v>
      </c>
      <c r="F40" s="343">
        <v>1.1803249735075942</v>
      </c>
      <c r="G40" s="343">
        <v>23.727410808901432</v>
      </c>
      <c r="H40" s="343">
        <v>15</v>
      </c>
      <c r="I40" s="343">
        <v>72</v>
      </c>
      <c r="J40" s="386">
        <v>9</v>
      </c>
      <c r="K40" s="419" t="s">
        <v>329</v>
      </c>
      <c r="L40" s="32"/>
      <c r="M40" s="391"/>
      <c r="N40" s="342">
        <f t="shared" si="0"/>
        <v>1694.4486009277275</v>
      </c>
      <c r="O40" s="420">
        <f t="shared" si="1"/>
        <v>84.290697207033318</v>
      </c>
      <c r="P40" s="422"/>
      <c r="Q40" s="422"/>
    </row>
    <row r="41" spans="2:17" s="35" customFormat="1" x14ac:dyDescent="0.3">
      <c r="B41" s="382" t="s">
        <v>183</v>
      </c>
      <c r="C41" s="390" t="s">
        <v>191</v>
      </c>
      <c r="D41" s="384" t="s">
        <v>68</v>
      </c>
      <c r="E41" s="385" t="s">
        <v>346</v>
      </c>
      <c r="F41" s="343" t="s">
        <v>86</v>
      </c>
      <c r="G41" s="343" t="s">
        <v>86</v>
      </c>
      <c r="H41" s="343" t="s">
        <v>86</v>
      </c>
      <c r="I41" s="343" t="s">
        <v>86</v>
      </c>
      <c r="J41" s="386">
        <v>0</v>
      </c>
      <c r="K41" s="419"/>
      <c r="L41" s="32"/>
      <c r="M41" s="391"/>
      <c r="N41" s="342" t="str">
        <f t="shared" si="0"/>
        <v>n/a</v>
      </c>
      <c r="O41" s="420" t="str">
        <f t="shared" si="1"/>
        <v>n/a</v>
      </c>
      <c r="P41" s="422"/>
      <c r="Q41" s="422"/>
    </row>
    <row r="42" spans="2:17" s="35" customFormat="1" x14ac:dyDescent="0.3">
      <c r="B42" s="382" t="s">
        <v>186</v>
      </c>
      <c r="C42" s="390" t="s">
        <v>193</v>
      </c>
      <c r="D42" s="384" t="s">
        <v>68</v>
      </c>
      <c r="E42" s="385" t="s">
        <v>346</v>
      </c>
      <c r="F42" s="343" t="s">
        <v>86</v>
      </c>
      <c r="G42" s="343" t="s">
        <v>86</v>
      </c>
      <c r="H42" s="343" t="s">
        <v>86</v>
      </c>
      <c r="I42" s="343" t="s">
        <v>86</v>
      </c>
      <c r="J42" s="386">
        <v>0</v>
      </c>
      <c r="K42" s="419"/>
      <c r="L42" s="32"/>
      <c r="M42" s="391"/>
      <c r="N42" s="342" t="str">
        <f t="shared" si="0"/>
        <v>n/a</v>
      </c>
      <c r="O42" s="420" t="str">
        <f t="shared" si="1"/>
        <v>n/a</v>
      </c>
      <c r="P42" s="422"/>
      <c r="Q42" s="422"/>
    </row>
    <row r="43" spans="2:17" s="35" customFormat="1" x14ac:dyDescent="0.3">
      <c r="B43" s="382" t="s">
        <v>532</v>
      </c>
      <c r="C43" s="390" t="s">
        <v>195</v>
      </c>
      <c r="D43" s="384" t="s">
        <v>68</v>
      </c>
      <c r="E43" s="385" t="s">
        <v>346</v>
      </c>
      <c r="F43" s="343">
        <v>5.0249999999999995</v>
      </c>
      <c r="G43" s="343">
        <v>9.2324999999999982</v>
      </c>
      <c r="H43" s="343">
        <v>25</v>
      </c>
      <c r="I43" s="343">
        <v>25</v>
      </c>
      <c r="J43" s="386">
        <v>2</v>
      </c>
      <c r="K43" s="419" t="s">
        <v>348</v>
      </c>
      <c r="L43" s="32"/>
      <c r="M43" s="391"/>
      <c r="N43" s="342">
        <f t="shared" si="0"/>
        <v>398.00995024875624</v>
      </c>
      <c r="O43" s="420">
        <f t="shared" si="1"/>
        <v>216.62604928242627</v>
      </c>
      <c r="P43" s="422"/>
      <c r="Q43" s="422"/>
    </row>
    <row r="44" spans="2:17" s="35" customFormat="1" x14ac:dyDescent="0.3">
      <c r="B44" s="382" t="s">
        <v>176</v>
      </c>
      <c r="C44" s="390" t="s">
        <v>199</v>
      </c>
      <c r="D44" s="384" t="s">
        <v>68</v>
      </c>
      <c r="E44" s="385" t="s">
        <v>346</v>
      </c>
      <c r="F44" s="343">
        <v>1.2169123871197427</v>
      </c>
      <c r="G44" s="343">
        <v>2.187355567162562</v>
      </c>
      <c r="H44" s="343">
        <v>60</v>
      </c>
      <c r="I44" s="343">
        <v>127</v>
      </c>
      <c r="J44" s="386">
        <v>2</v>
      </c>
      <c r="K44" s="419" t="s">
        <v>349</v>
      </c>
      <c r="L44" s="32"/>
      <c r="M44" s="391"/>
      <c r="N44" s="342">
        <f t="shared" si="0"/>
        <v>1643.5036911192215</v>
      </c>
      <c r="O44" s="420">
        <f t="shared" si="1"/>
        <v>914.34608530262881</v>
      </c>
      <c r="P44" s="422"/>
      <c r="Q44" s="422"/>
    </row>
    <row r="45" spans="2:17" s="35" customFormat="1" x14ac:dyDescent="0.3">
      <c r="B45" s="382" t="s">
        <v>533</v>
      </c>
      <c r="C45" s="390" t="s">
        <v>201</v>
      </c>
      <c r="D45" s="384" t="s">
        <v>68</v>
      </c>
      <c r="E45" s="385" t="s">
        <v>346</v>
      </c>
      <c r="F45" s="343">
        <v>0.95842789354239732</v>
      </c>
      <c r="G45" s="343">
        <v>81.999999999999986</v>
      </c>
      <c r="H45" s="343">
        <v>4</v>
      </c>
      <c r="I45" s="343">
        <v>75</v>
      </c>
      <c r="J45" s="386">
        <v>9</v>
      </c>
      <c r="K45" s="419" t="s">
        <v>349</v>
      </c>
      <c r="L45" s="32"/>
      <c r="M45" s="391"/>
      <c r="N45" s="342">
        <f t="shared" si="0"/>
        <v>2086.7506188784846</v>
      </c>
      <c r="O45" s="420">
        <f t="shared" si="1"/>
        <v>24.390243902439028</v>
      </c>
      <c r="P45" s="422"/>
      <c r="Q45" s="422"/>
    </row>
    <row r="46" spans="2:17" s="35" customFormat="1" x14ac:dyDescent="0.3">
      <c r="B46" s="382" t="s">
        <v>504</v>
      </c>
      <c r="C46" s="390" t="s">
        <v>204</v>
      </c>
      <c r="D46" s="384" t="s">
        <v>80</v>
      </c>
      <c r="E46" s="385" t="s">
        <v>346</v>
      </c>
      <c r="F46" s="343">
        <v>0.19640976501890117</v>
      </c>
      <c r="G46" s="343">
        <v>1.2926165669486278</v>
      </c>
      <c r="H46" s="343">
        <v>40</v>
      </c>
      <c r="I46" s="343">
        <v>75</v>
      </c>
      <c r="J46" s="386">
        <v>6</v>
      </c>
      <c r="K46" s="419" t="s">
        <v>349</v>
      </c>
      <c r="L46" s="32"/>
      <c r="M46" s="391"/>
      <c r="N46" s="342">
        <f t="shared" si="0"/>
        <v>10182.79309996391</v>
      </c>
      <c r="O46" s="420">
        <f t="shared" si="1"/>
        <v>1547.2492393635596</v>
      </c>
      <c r="P46" s="422"/>
      <c r="Q46" s="422"/>
    </row>
    <row r="47" spans="2:17" s="35" customFormat="1" x14ac:dyDescent="0.3">
      <c r="B47" s="382">
        <v>6.3</v>
      </c>
      <c r="C47" s="390" t="s">
        <v>209</v>
      </c>
      <c r="D47" s="384" t="s">
        <v>68</v>
      </c>
      <c r="E47" s="385" t="s">
        <v>346</v>
      </c>
      <c r="F47" s="343">
        <v>17</v>
      </c>
      <c r="G47" s="343">
        <v>19.7</v>
      </c>
      <c r="H47" s="343">
        <v>60</v>
      </c>
      <c r="I47" s="343">
        <v>60</v>
      </c>
      <c r="J47" s="386">
        <v>4</v>
      </c>
      <c r="K47" s="419" t="s">
        <v>350</v>
      </c>
      <c r="L47" s="32"/>
      <c r="N47" s="342">
        <f t="shared" si="0"/>
        <v>117.64705882352941</v>
      </c>
      <c r="O47" s="420">
        <f t="shared" si="1"/>
        <v>101.52284263959392</v>
      </c>
      <c r="P47" s="422"/>
      <c r="Q47" s="422"/>
    </row>
    <row r="48" spans="2:17" s="35" customFormat="1" x14ac:dyDescent="0.3">
      <c r="B48" s="382" t="s">
        <v>210</v>
      </c>
      <c r="C48" s="390" t="s">
        <v>351</v>
      </c>
      <c r="D48" s="384" t="s">
        <v>68</v>
      </c>
      <c r="E48" s="385" t="s">
        <v>346</v>
      </c>
      <c r="F48" s="343">
        <v>415</v>
      </c>
      <c r="G48" s="343">
        <v>7581.9</v>
      </c>
      <c r="H48" s="343">
        <v>60</v>
      </c>
      <c r="I48" s="343">
        <v>60</v>
      </c>
      <c r="J48" s="386">
        <v>12</v>
      </c>
      <c r="K48" s="419" t="s">
        <v>352</v>
      </c>
      <c r="L48" s="32"/>
      <c r="N48" s="342"/>
      <c r="O48" s="420"/>
      <c r="P48" s="422"/>
      <c r="Q48" s="422"/>
    </row>
    <row r="49" spans="2:17" s="35" customFormat="1" x14ac:dyDescent="0.3">
      <c r="B49" s="382">
        <v>12</v>
      </c>
      <c r="C49" s="390" t="s">
        <v>211</v>
      </c>
      <c r="D49" s="384" t="s">
        <v>68</v>
      </c>
      <c r="E49" s="385" t="s">
        <v>346</v>
      </c>
      <c r="F49" s="343" t="s">
        <v>86</v>
      </c>
      <c r="G49" s="343" t="s">
        <v>86</v>
      </c>
      <c r="H49" s="343" t="s">
        <v>86</v>
      </c>
      <c r="I49" s="343" t="s">
        <v>86</v>
      </c>
      <c r="J49" s="386">
        <v>0</v>
      </c>
      <c r="K49" s="419"/>
      <c r="L49" s="32"/>
      <c r="M49" s="391"/>
      <c r="N49" s="342" t="str">
        <f t="shared" si="0"/>
        <v>n/a</v>
      </c>
      <c r="O49" s="420" t="str">
        <f t="shared" si="1"/>
        <v>n/a</v>
      </c>
      <c r="P49" s="422"/>
      <c r="Q49" s="422"/>
    </row>
    <row r="50" spans="2:17" s="35" customFormat="1" x14ac:dyDescent="0.3">
      <c r="B50" s="382">
        <v>13</v>
      </c>
      <c r="C50" s="390" t="s">
        <v>213</v>
      </c>
      <c r="D50" s="384" t="s">
        <v>68</v>
      </c>
      <c r="E50" s="385" t="s">
        <v>346</v>
      </c>
      <c r="F50" s="343" t="s">
        <v>86</v>
      </c>
      <c r="G50" s="343" t="s">
        <v>86</v>
      </c>
      <c r="H50" s="343" t="s">
        <v>86</v>
      </c>
      <c r="I50" s="343" t="s">
        <v>86</v>
      </c>
      <c r="J50" s="386">
        <v>0</v>
      </c>
      <c r="K50" s="419"/>
      <c r="L50" s="32"/>
      <c r="N50" s="342" t="str">
        <f t="shared" si="0"/>
        <v>n/a</v>
      </c>
      <c r="O50" s="420" t="str">
        <f t="shared" si="1"/>
        <v>n/a</v>
      </c>
      <c r="P50" s="422"/>
      <c r="Q50" s="422"/>
    </row>
    <row r="51" spans="2:17" s="35" customFormat="1" x14ac:dyDescent="0.3">
      <c r="B51" s="382">
        <v>14</v>
      </c>
      <c r="C51" s="390" t="s">
        <v>216</v>
      </c>
      <c r="D51" s="384" t="s">
        <v>68</v>
      </c>
      <c r="E51" s="385" t="s">
        <v>346</v>
      </c>
      <c r="F51" s="343" t="s">
        <v>86</v>
      </c>
      <c r="G51" s="343" t="s">
        <v>86</v>
      </c>
      <c r="H51" s="343" t="s">
        <v>86</v>
      </c>
      <c r="I51" s="343" t="s">
        <v>86</v>
      </c>
      <c r="J51" s="386">
        <v>0</v>
      </c>
      <c r="K51" s="419"/>
      <c r="L51" s="32"/>
      <c r="N51" s="342" t="str">
        <f t="shared" si="0"/>
        <v>n/a</v>
      </c>
      <c r="O51" s="420" t="str">
        <f t="shared" si="1"/>
        <v>n/a</v>
      </c>
      <c r="P51" s="422"/>
      <c r="Q51" s="422"/>
    </row>
    <row r="52" spans="2:17" s="35" customFormat="1" x14ac:dyDescent="0.3">
      <c r="B52" s="382" t="s">
        <v>217</v>
      </c>
      <c r="C52" s="390" t="s">
        <v>219</v>
      </c>
      <c r="D52" s="384" t="s">
        <v>68</v>
      </c>
      <c r="E52" s="385" t="s">
        <v>346</v>
      </c>
      <c r="F52" s="343" t="s">
        <v>86</v>
      </c>
      <c r="G52" s="343" t="s">
        <v>86</v>
      </c>
      <c r="H52" s="343" t="s">
        <v>86</v>
      </c>
      <c r="I52" s="343" t="s">
        <v>86</v>
      </c>
      <c r="J52" s="386">
        <v>0</v>
      </c>
      <c r="K52" s="419"/>
      <c r="L52" s="32"/>
      <c r="N52" s="342" t="str">
        <f t="shared" si="0"/>
        <v>n/a</v>
      </c>
      <c r="O52" s="420" t="str">
        <f t="shared" si="1"/>
        <v>n/a</v>
      </c>
      <c r="P52" s="422"/>
      <c r="Q52" s="422"/>
    </row>
    <row r="53" spans="2:17" s="35" customFormat="1" x14ac:dyDescent="0.3">
      <c r="B53" s="382" t="s">
        <v>220</v>
      </c>
      <c r="C53" s="390" t="s">
        <v>221</v>
      </c>
      <c r="D53" s="384" t="s">
        <v>68</v>
      </c>
      <c r="E53" s="385" t="s">
        <v>346</v>
      </c>
      <c r="F53" s="343" t="s">
        <v>86</v>
      </c>
      <c r="G53" s="343" t="s">
        <v>86</v>
      </c>
      <c r="H53" s="343" t="s">
        <v>86</v>
      </c>
      <c r="I53" s="343" t="s">
        <v>86</v>
      </c>
      <c r="J53" s="386">
        <v>0</v>
      </c>
      <c r="K53" s="419"/>
      <c r="L53" s="32"/>
      <c r="N53" s="342" t="str">
        <f t="shared" si="0"/>
        <v>n/a</v>
      </c>
      <c r="O53" s="420" t="str">
        <f t="shared" si="1"/>
        <v>n/a</v>
      </c>
      <c r="P53" s="422"/>
      <c r="Q53" s="422"/>
    </row>
    <row r="54" spans="2:17" x14ac:dyDescent="0.3">
      <c r="B54" s="423" t="s">
        <v>222</v>
      </c>
      <c r="C54" s="424" t="s">
        <v>223</v>
      </c>
      <c r="D54" s="425" t="s">
        <v>68</v>
      </c>
      <c r="E54" s="426" t="s">
        <v>346</v>
      </c>
      <c r="F54" s="427" t="s">
        <v>86</v>
      </c>
      <c r="G54" s="427" t="s">
        <v>86</v>
      </c>
      <c r="H54" s="427" t="s">
        <v>86</v>
      </c>
      <c r="I54" s="427" t="s">
        <v>86</v>
      </c>
      <c r="J54" s="428">
        <v>0</v>
      </c>
      <c r="K54" s="429"/>
      <c r="M54" s="35"/>
      <c r="N54" s="342" t="str">
        <f t="shared" si="0"/>
        <v>n/a</v>
      </c>
      <c r="O54" s="420" t="str">
        <f t="shared" si="1"/>
        <v>n/a</v>
      </c>
      <c r="P54" s="422"/>
      <c r="Q54" s="422"/>
    </row>
    <row r="55" spans="2:17" ht="13.5" thickBot="1" x14ac:dyDescent="0.35">
      <c r="B55" s="394" t="s">
        <v>224</v>
      </c>
      <c r="C55" s="395" t="s">
        <v>225</v>
      </c>
      <c r="D55" s="396" t="s">
        <v>68</v>
      </c>
      <c r="E55" s="430" t="s">
        <v>346</v>
      </c>
      <c r="F55" s="353" t="s">
        <v>86</v>
      </c>
      <c r="G55" s="353" t="s">
        <v>86</v>
      </c>
      <c r="H55" s="353" t="s">
        <v>86</v>
      </c>
      <c r="I55" s="353" t="s">
        <v>86</v>
      </c>
      <c r="J55" s="398">
        <v>0</v>
      </c>
      <c r="K55" s="431"/>
      <c r="M55" s="35"/>
      <c r="N55" s="352" t="str">
        <f t="shared" si="0"/>
        <v>n/a</v>
      </c>
      <c r="O55" s="432" t="str">
        <f t="shared" si="1"/>
        <v>n/a</v>
      </c>
      <c r="P55" s="422"/>
      <c r="Q55" s="422"/>
    </row>
    <row r="57" spans="2:17" x14ac:dyDescent="0.3">
      <c r="N57" s="401"/>
      <c r="O57" s="401"/>
    </row>
    <row r="58" spans="2:17" x14ac:dyDescent="0.3">
      <c r="M58" s="401"/>
      <c r="N58" s="401"/>
      <c r="O58" s="401"/>
    </row>
    <row r="59" spans="2:17" x14ac:dyDescent="0.3">
      <c r="M59" s="401"/>
    </row>
  </sheetData>
  <sheetProtection sheet="1" objects="1" scenarios="1" formatCells="0" formatColumns="0" formatRows="0" sort="0" autoFilter="0"/>
  <autoFilter ref="B1:Q59" xr:uid="{32D5A60F-8C65-40FB-9D8B-BCD9A6603F89}"/>
  <mergeCells count="12">
    <mergeCell ref="N4:O4"/>
    <mergeCell ref="N3:O3"/>
    <mergeCell ref="B3:B5"/>
    <mergeCell ref="C3:C5"/>
    <mergeCell ref="D3:D5"/>
    <mergeCell ref="E3:E5"/>
    <mergeCell ref="F4:G4"/>
    <mergeCell ref="J3:J5"/>
    <mergeCell ref="K3:K5"/>
    <mergeCell ref="F3:G3"/>
    <mergeCell ref="H3:H5"/>
    <mergeCell ref="I3:I5"/>
  </mergeCells>
  <conditionalFormatting sqref="F6:I55">
    <cfRule type="cellIs" dxfId="14" priority="9" operator="greaterThanOrEqual">
      <formula>10000</formula>
    </cfRule>
    <cfRule type="cellIs" dxfId="13" priority="10" operator="greaterThanOrEqual">
      <formula>10</formula>
    </cfRule>
    <cfRule type="cellIs" dxfId="12" priority="11" operator="between">
      <formula>1</formula>
      <formula>9.999</formula>
    </cfRule>
    <cfRule type="cellIs" dxfId="11" priority="12" operator="between">
      <formula>0.1</formula>
      <formula>0.999</formula>
    </cfRule>
    <cfRule type="cellIs" dxfId="10" priority="13" operator="lessThanOrEqual">
      <formula>0.1</formula>
    </cfRule>
    <cfRule type="containsBlanks" dxfId="9" priority="14" stopIfTrue="1">
      <formula>LEN(TRIM(F6))=0</formula>
    </cfRule>
    <cfRule type="cellIs" dxfId="8" priority="15" operator="equal">
      <formula>0</formula>
    </cfRule>
  </conditionalFormatting>
  <conditionalFormatting sqref="N6:O55">
    <cfRule type="expression" dxfId="7" priority="1">
      <formula>N6&lt;N$2</formula>
    </cfRule>
    <cfRule type="cellIs" dxfId="6" priority="2" operator="greaterThanOrEqual">
      <formula>10000</formula>
    </cfRule>
    <cfRule type="cellIs" dxfId="5" priority="3" operator="greaterThanOrEqual">
      <formula>10</formula>
    </cfRule>
    <cfRule type="cellIs" dxfId="4" priority="4" operator="between">
      <formula>1</formula>
      <formula>9.999</formula>
    </cfRule>
    <cfRule type="cellIs" dxfId="3" priority="5" operator="between">
      <formula>0.1</formula>
      <formula>0.999</formula>
    </cfRule>
    <cfRule type="cellIs" dxfId="2" priority="6" operator="lessThanOrEqual">
      <formula>0.1</formula>
    </cfRule>
    <cfRule type="containsBlanks" dxfId="1" priority="7" stopIfTrue="1">
      <formula>LEN(TRIM(N6))=0</formula>
    </cfRule>
    <cfRule type="cellIs" dxfId="0" priority="8" operator="equal">
      <formula>0</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23352F79007E408EFF44D6142FFCE2" ma:contentTypeVersion="21" ma:contentTypeDescription="Create a new document." ma:contentTypeScope="" ma:versionID="f7663de67ef2afa6df94d55ff7e56796">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fecc2597-e8fd-4279-ac06-bd7c891938be" xmlns:ns6="ead8da0f-3542-4e50-96c8-f1f698624e86" targetNamespace="http://schemas.microsoft.com/office/2006/metadata/properties" ma:root="true" ma:fieldsID="02cccc19423a0cd6fa028e0a1e544b83" ns1:_="" ns2:_="" ns3:_="" ns4:_="" ns5:_="" ns6:_="">
    <xsd:import namespace="http://schemas.microsoft.com/sharepoint/v3"/>
    <xsd:import namespace="4ffa91fb-a0ff-4ac5-b2db-65c790d184a4"/>
    <xsd:import namespace="http://schemas.microsoft.com/sharepoint.v3"/>
    <xsd:import namespace="http://schemas.microsoft.com/sharepoint/v3/fields"/>
    <xsd:import namespace="fecc2597-e8fd-4279-ac06-bd7c891938be"/>
    <xsd:import namespace="ead8da0f-3542-4e50-96c8-f1f698624e86"/>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2:e3f09c3df709400db2417a7161762d62" minOccurs="0"/>
                <xsd:element ref="ns5:SharedWithUsers" minOccurs="0"/>
                <xsd:element ref="ns5:SharedWithDetails"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1:_ip_UnifiedCompliancePolicyProperties" minOccurs="0"/>
                <xsd:element ref="ns1:_ip_UnifiedCompliancePolicyUIAction" minOccurs="0"/>
                <xsd:element ref="ns6:lcf76f155ced4ddcb4097134ff3c332f" minOccurs="0"/>
                <xsd:element ref="ns6:MediaServiceObjectDetectorVersions" minOccurs="0"/>
                <xsd:element ref="ns6:MediaServiceSearchProperties" minOccurs="0"/>
                <xsd:element ref="ns6:MediaServiceDateTaken"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ma:readOnly="false">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160cad11-562a-4490-8456-b2fd6f157897}" ma:internalName="TaxCatchAllLabel" ma:readOnly="true" ma:showField="CatchAllDataLabel"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160cad11-562a-4490-8456-b2fd6f157897}" ma:internalName="TaxCatchAll" ma:showField="CatchAllData"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e3f09c3df709400db2417a7161762d62" ma:index="28" nillable="true" ma:taxonomy="true" ma:internalName="e3f09c3df709400db2417a7161762d62" ma:taxonomyFieldName="EPA_x0020_Subject" ma:displayName="EPA Subject" ma:readOnly="false" ma:default="" ma:fieldId="{e3f09c3d-f709-400d-b241-7a7161762d62}" ma:taxonomyMulti="true" ma:sspId="29f62856-1543-49d4-a736-4569d363f533" ma:termSetId="7a3d4ae0-7e62-45a2-a406-c6a8a6a8eee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cc2597-e8fd-4279-ac06-bd7c891938be"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d8da0f-3542-4e50-96c8-f1f698624e86"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lcf76f155ced4ddcb4097134ff3c332f" ma:index="40"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1" nillable="true" ma:displayName="MediaServiceObjectDetectorVersions" ma:hidden="true" ma:indexed="true" ma:internalName="MediaServiceObjectDetectorVersions" ma:readOnly="true">
      <xsd:simpleType>
        <xsd:restriction base="dms:Text"/>
      </xsd:simpleType>
    </xsd:element>
    <xsd:element name="MediaServiceSearchProperties" ma:index="42" nillable="true" ma:displayName="MediaServiceSearchProperties" ma:hidden="true" ma:internalName="MediaServiceSearchProperties" ma:readOnly="true">
      <xsd:simpleType>
        <xsd:restriction base="dms:Note"/>
      </xsd:simpleType>
    </xsd:element>
    <xsd:element name="MediaServiceDateTaken" ma:index="43" nillable="true" ma:displayName="MediaServiceDateTaken" ma:description="" ma:hidden="true" ma:indexed="true" ma:internalName="MediaServiceDateTaken" ma:readOnly="true">
      <xsd:simpleType>
        <xsd:restriction base="dms:Text"/>
      </xsd:simpleType>
    </xsd:element>
    <xsd:element name="MediaServiceLocation" ma:index="44" nillable="true" ma:displayName="Location" ma:description="" ma:indexed="true" ma:internalName="MediaServiceLocation" ma:readOnly="true">
      <xsd:simpleType>
        <xsd:restriction base="dms:Text"/>
      </xsd:simpleType>
    </xsd:element>
    <xsd:element name="MediaLengthInSeconds" ma:index="4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Coverage xmlns="http://schemas.microsoft.com/sharepoint/v3/fields" xsi:nil="true"/>
    <Record xmlns="4ffa91fb-a0ff-4ac5-b2db-65c790d184a4">Shared</Record>
    <EPA_x0020_Office xmlns="4ffa91fb-a0ff-4ac5-b2db-65c790d184a4" xsi:nil="true"/>
    <Document_x0020_Creation_x0020_Date xmlns="4ffa91fb-a0ff-4ac5-b2db-65c790d184a4">2026-05-12T18:14:28+00:00</Document_x0020_Creation_x0020_Date>
    <EPA_x0020_Related_x0020_Documents xmlns="4ffa91fb-a0ff-4ac5-b2db-65c790d184a4" xsi:nil="true"/>
    <_Source xmlns="http://schemas.microsoft.com/sharepoint/v3/fields" xsi:nil="true"/>
    <CategoryDescription xmlns="http://schemas.microsoft.com/sharepoint.v3" xsi:nil="true"/>
    <EPA_x0020_Contributor xmlns="4ffa91fb-a0ff-4ac5-b2db-65c790d184a4">
      <UserInfo>
        <DisplayName/>
        <AccountId xsi:nil="true"/>
        <AccountType/>
      </UserInfo>
    </EPA_x0020_Contributor>
    <TaxKeywordTaxHTField xmlns="4ffa91fb-a0ff-4ac5-b2db-65c790d184a4">
      <Terms xmlns="http://schemas.microsoft.com/office/infopath/2007/PartnerControls">
        <TermInfo xmlns="http://schemas.microsoft.com/office/infopath/2007/PartnerControls">
          <TermName xmlns="http://schemas.microsoft.com/office/infopath/2007/PartnerControls">Risk</TermName>
          <TermId xmlns="http://schemas.microsoft.com/office/infopath/2007/PartnerControls">18524c7e-27cc-419c-9f60-538948708f3d</TermId>
        </TermInfo>
        <TermInfo xmlns="http://schemas.microsoft.com/office/infopath/2007/PartnerControls">
          <TermName xmlns="http://schemas.microsoft.com/office/infopath/2007/PartnerControls">2-Dichloroethylene</TermName>
          <TermId xmlns="http://schemas.microsoft.com/office/infopath/2007/PartnerControls">843fbadb-1231-4ab9-833b-3a6af9331804</TermId>
        </TermInfo>
        <TermInfo xmlns="http://schemas.microsoft.com/office/infopath/2007/PartnerControls">
          <TermName xmlns="http://schemas.microsoft.com/office/infopath/2007/PartnerControls">occupational</TermName>
          <TermId xmlns="http://schemas.microsoft.com/office/infopath/2007/PartnerControls">4eaca312-31b2-4d01-8adc-174ba9820bec</TermId>
        </TermInfo>
        <TermInfo xmlns="http://schemas.microsoft.com/office/infopath/2007/PartnerControls">
          <TermName xmlns="http://schemas.microsoft.com/office/infopath/2007/PartnerControls">trans-1</TermName>
          <TermId xmlns="http://schemas.microsoft.com/office/infopath/2007/PartnerControls">3bd1ca93-0ea3-47d7-9577-5c84a0904703</TermId>
        </TermInfo>
        <TermInfo xmlns="http://schemas.microsoft.com/office/infopath/2007/PartnerControls">
          <TermName xmlns="http://schemas.microsoft.com/office/infopath/2007/PartnerControls">risk assessment</TermName>
          <TermId xmlns="http://schemas.microsoft.com/office/infopath/2007/PartnerControls">11111111-1111-1111-1111-111111111111</TermId>
        </TermInfo>
        <TermInfo xmlns="http://schemas.microsoft.com/office/infopath/2007/PartnerControls">
          <TermName xmlns="http://schemas.microsoft.com/office/infopath/2007/PartnerControls">Exposure</TermName>
          <TermId xmlns="http://schemas.microsoft.com/office/infopath/2007/PartnerControls">44a40c17-e1b9-4157-a85d-d32620a2144a</TermId>
        </TermInfo>
      </Terms>
    </TaxKeywordTaxHTField>
    <Rights xmlns="4ffa91fb-a0ff-4ac5-b2db-65c790d184a4" xsi:nil="true"/>
    <External_x0020_Contributor xmlns="4ffa91fb-a0ff-4ac5-b2db-65c790d184a4" xsi:nil="true"/>
    <Identifier xmlns="4ffa91fb-a0ff-4ac5-b2db-65c790d184a4" xsi:nil="true"/>
    <_ip_UnifiedCompliancePolicyUIAction xmlns="http://schemas.microsoft.com/sharepoint/v3" xsi:nil="true"/>
    <Creator xmlns="4ffa91fb-a0ff-4ac5-b2db-65c790d184a4">
      <UserInfo>
        <DisplayName/>
        <AccountId xsi:nil="true"/>
        <AccountType/>
      </UserInfo>
    </Creator>
    <_ip_UnifiedCompliancePolicyProperties xmlns="http://schemas.microsoft.com/sharepoint/v3" xsi:nil="true"/>
    <Language xmlns="http://schemas.microsoft.com/sharepoint/v3">English</Language>
    <j747ac98061d40f0aa7bd47e1db5675d xmlns="4ffa91fb-a0ff-4ac5-b2db-65c790d184a4">
      <Terms xmlns="http://schemas.microsoft.com/office/infopath/2007/PartnerControls"/>
    </j747ac98061d40f0aa7bd47e1db5675d>
    <lcf76f155ced4ddcb4097134ff3c332f xmlns="ead8da0f-3542-4e50-96c8-f1f698624e86">
      <Terms xmlns="http://schemas.microsoft.com/office/infopath/2007/PartnerControls"/>
    </lcf76f155ced4ddcb4097134ff3c332f>
    <TaxCatchAll xmlns="4ffa91fb-a0ff-4ac5-b2db-65c790d184a4">
      <Value>117</Value>
      <Value>1115</Value>
      <Value>1266</Value>
      <Value>2096</Value>
      <Value>1058</Value>
      <Value>1193</Value>
    </TaxCatchAll>
    <e3f09c3df709400db2417a7161762d62 xmlns="4ffa91fb-a0ff-4ac5-b2db-65c790d184a4">
      <Terms xmlns="http://schemas.microsoft.com/office/infopath/2007/PartnerControls"/>
    </e3f09c3df709400db2417a7161762d62>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29f62856-1543-49d4-a736-4569d363f533" ContentTypeId="0x0101" PreviousValue="false"/>
</file>

<file path=customXml/itemProps1.xml><?xml version="1.0" encoding="utf-8"?>
<ds:datastoreItem xmlns:ds="http://schemas.openxmlformats.org/officeDocument/2006/customXml" ds:itemID="{C9058DE4-F5E2-4447-8360-56DFAC994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fecc2597-e8fd-4279-ac06-bd7c891938be"/>
    <ds:schemaRef ds:uri="ead8da0f-3542-4e50-96c8-f1f698624e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E764FE-6327-43C2-BB6D-68BC5C2CCCCC}">
  <ds:schemaRefs>
    <ds:schemaRef ds:uri="http://schemas.microsoft.com/office/2006/metadata/properties"/>
    <ds:schemaRef ds:uri="http://schemas.microsoft.com/office/infopath/2007/PartnerControls"/>
    <ds:schemaRef ds:uri="http://schemas.microsoft.com/sharepoint/v3/fields"/>
    <ds:schemaRef ds:uri="4ffa91fb-a0ff-4ac5-b2db-65c790d184a4"/>
    <ds:schemaRef ds:uri="http://schemas.microsoft.com/sharepoint.v3"/>
    <ds:schemaRef ds:uri="http://schemas.microsoft.com/sharepoint/v3"/>
    <ds:schemaRef ds:uri="ead8da0f-3542-4e50-96c8-f1f698624e86"/>
  </ds:schemaRefs>
</ds:datastoreItem>
</file>

<file path=customXml/itemProps3.xml><?xml version="1.0" encoding="utf-8"?>
<ds:datastoreItem xmlns:ds="http://schemas.openxmlformats.org/officeDocument/2006/customXml" ds:itemID="{D9F4726F-43E2-45F1-B868-FC3C5C2007FD}">
  <ds:schemaRefs>
    <ds:schemaRef ds:uri="http://schemas.microsoft.com/sharepoint/v3/contenttype/forms"/>
  </ds:schemaRefs>
</ds:datastoreItem>
</file>

<file path=customXml/itemProps4.xml><?xml version="1.0" encoding="utf-8"?>
<ds:datastoreItem xmlns:ds="http://schemas.openxmlformats.org/officeDocument/2006/customXml" ds:itemID="{9CAD16D4-6632-48D2-9C40-9D5A4CCF5EE3}">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26</vt:i4>
      </vt:variant>
    </vt:vector>
  </HeadingPairs>
  <TitlesOfParts>
    <vt:vector size="37" baseType="lpstr">
      <vt:lpstr>Cover Page</vt:lpstr>
      <vt:lpstr>README</vt:lpstr>
      <vt:lpstr>Calculation Summary</vt:lpstr>
      <vt:lpstr>Bridge Table</vt:lpstr>
      <vt:lpstr>Risk Reduction</vt:lpstr>
      <vt:lpstr>Health Data</vt:lpstr>
      <vt:lpstr>Dermal Exposure</vt:lpstr>
      <vt:lpstr>Inhalation Exposure_8-hr</vt:lpstr>
      <vt:lpstr>Inhalation Exposure_Short-Term</vt:lpstr>
      <vt:lpstr>List Values</vt:lpstr>
      <vt:lpstr>Exposure Factors</vt:lpstr>
      <vt:lpstr>AT_AC</vt:lpstr>
      <vt:lpstr>AT_ADC_high</vt:lpstr>
      <vt:lpstr>AT_ADC_I</vt:lpstr>
      <vt:lpstr>AT_ADC_mid</vt:lpstr>
      <vt:lpstr>AT_CRD_high</vt:lpstr>
      <vt:lpstr>AT_CRD_mid</vt:lpstr>
      <vt:lpstr>AT_LADC</vt:lpstr>
      <vt:lpstr>AT_LCRD</vt:lpstr>
      <vt:lpstr>Breathing_Ratio</vt:lpstr>
      <vt:lpstr>BW_default</vt:lpstr>
      <vt:lpstr>BW_women</vt:lpstr>
      <vt:lpstr>ED_24</vt:lpstr>
      <vt:lpstr>ED_8</vt:lpstr>
      <vt:lpstr>EF</vt:lpstr>
      <vt:lpstr>EF_C</vt:lpstr>
      <vt:lpstr>EF_I</vt:lpstr>
      <vt:lpstr>'Health Data'!Exposure_Drop_down</vt:lpstr>
      <vt:lpstr>LT</vt:lpstr>
      <vt:lpstr>MW</vt:lpstr>
      <vt:lpstr>ug_per_mg</vt:lpstr>
      <vt:lpstr>WY_CT_default</vt:lpstr>
      <vt:lpstr>WY_CT_women</vt:lpstr>
      <vt:lpstr>WY_HE_default</vt:lpstr>
      <vt:lpstr>WY_HE_women</vt:lpstr>
      <vt:lpstr>WY_high</vt:lpstr>
      <vt:lpstr>WY_mid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 Occupational Risk Calculator for trans-1,2-Dichloroethylene </dc:title>
  <dc:subject>Draft Risk Evaluation for trans-1,2-Dichloroethylene</dc:subject>
  <dc:creator/>
  <cp:keywords>trans-1,2-Dichloroethylene; risk assessment; occupational; exposure; risk</cp:keywords>
  <dc:description/>
  <cp:lastModifiedBy/>
  <cp:revision>1</cp:revision>
  <dcterms:created xsi:type="dcterms:W3CDTF">2026-07-30T16:23:18Z</dcterms:created>
  <dcterms:modified xsi:type="dcterms:W3CDTF">2026-07-30T16:32:14Z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117;#Risk|18524c7e-27cc-419c-9f60-538948708f3d;#1115;#2-Dichloroethylene|843fbadb-1231-4ab9-833b-3a6af9331804;#1266;#occupational|4eaca312-31b2-4d01-8adc-174ba9820bec;#2096;#trans-1|3bd1ca93-0ea3-47d7-9577-5c84a0904703;#1058;#risk assessment|11111111-1111-1111-1111-111111111111;#1193;#Exposure|44a40c17-e1b9-4157-a85d-d32620a2144a</vt:lpwstr>
  </property>
  <property fmtid="{D5CDD505-2E9C-101B-9397-08002B2CF9AE}" pid="3" name="Document_x0020_Type">
    <vt:lpwstr/>
  </property>
  <property fmtid="{D5CDD505-2E9C-101B-9397-08002B2CF9AE}" pid="4" name="MediaServiceImageTags">
    <vt:lpwstr/>
  </property>
  <property fmtid="{D5CDD505-2E9C-101B-9397-08002B2CF9AE}" pid="5" name="ContentTypeId">
    <vt:lpwstr>0x010100D723352F79007E408EFF44D6142FFCE2</vt:lpwstr>
  </property>
  <property fmtid="{D5CDD505-2E9C-101B-9397-08002B2CF9AE}" pid="6" name="EPA Subject">
    <vt:lpwstr/>
  </property>
  <property fmtid="{D5CDD505-2E9C-101B-9397-08002B2CF9AE}" pid="7" name="EPA_x0020_Subject">
    <vt:lpwstr/>
  </property>
  <property fmtid="{D5CDD505-2E9C-101B-9397-08002B2CF9AE}" pid="8" name="Document Type">
    <vt:lpwstr/>
  </property>
</Properties>
</file>